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harts/chart4.xml" ContentType="application/vnd.openxmlformats-officedocument.drawingml.chart+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omments4.xml" ContentType="application/vnd.openxmlformats-officedocument.spreadsheetml.comments+xml"/>
  <Override PartName="/xl/charts/chart7.xml" ContentType="application/vnd.openxmlformats-officedocument.drawingml.chart+xml"/>
  <Override PartName="/xl/charts/chart8.xml" ContentType="application/vnd.openxmlformats-officedocument.drawingml.chart+xml"/>
  <Override PartName="/xl/drawings/drawing5.xml" ContentType="application/vnd.openxmlformats-officedocument.drawing+xml"/>
  <Override PartName="/xl/charts/chart9.xml" ContentType="application/vnd.openxmlformats-officedocument.drawingml.chart+xml"/>
  <Override PartName="/xl/charts/chart10.xml" ContentType="application/vnd.openxmlformats-officedocument.drawingml.chart+xml"/>
  <Override PartName="/xl/drawings/drawing6.xml" ContentType="application/vnd.openxmlformats-officedocument.drawing+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drawings/drawing7.xml" ContentType="application/vnd.openxmlformats-officedocument.drawing+xml"/>
  <Override PartName="/xl/charts/chart1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10" yWindow="435" windowWidth="19260" windowHeight="5490" tabRatio="813" activeTab="1"/>
  </bookViews>
  <sheets>
    <sheet name="ReadMe First" sheetId="10" r:id="rId1"/>
    <sheet name="Establishments" sheetId="6" r:id="rId2"/>
    <sheet name="Raw Data" sheetId="7" r:id="rId3"/>
    <sheet name="Data For Analysis" sheetId="1" r:id="rId4"/>
    <sheet name="Constants" sheetId="9" r:id="rId5"/>
    <sheet name="Task Durations" sheetId="2" r:id="rId6"/>
    <sheet name="Descriptive Stats" sheetId="33" r:id="rId7"/>
    <sheet name="Indirect vs Direct" sheetId="8" r:id="rId8"/>
    <sheet name="Total Pop" sheetId="3" r:id="rId9"/>
    <sheet name="Confidence Intervals" sheetId="28" r:id="rId10"/>
    <sheet name="ANOVA - plant size" sheetId="22" r:id="rId11"/>
    <sheet name="N60 vs 2lb Grab" sheetId="26" r:id="rId12"/>
    <sheet name="Time Collectors" sheetId="29" r:id="rId13"/>
    <sheet name="Connection" sheetId="31" r:id="rId14"/>
    <sheet name="Districts" sheetId="21" r:id="rId15"/>
    <sheet name="t-Distribution" sheetId="20" r:id="rId16"/>
    <sheet name="Normal Table" sheetId="27" r:id="rId17"/>
  </sheets>
  <externalReferences>
    <externalReference r:id="rId18"/>
  </externalReferences>
  <definedNames>
    <definedName name="_xlnm._FilterDatabase" localSheetId="10" hidden="1">'ANOVA - plant size'!$B$1:$H$89</definedName>
    <definedName name="_xlnm._FilterDatabase" localSheetId="3" hidden="1">'Data For Analysis'!$B$1:$BQ$1</definedName>
    <definedName name="_xlnm._FilterDatabase" localSheetId="6" hidden="1">'Descriptive Stats'!$C$1:$BW$8</definedName>
    <definedName name="_xlnm._FilterDatabase" localSheetId="1" hidden="1">Establishments!$A$1:$K$176</definedName>
    <definedName name="_xlnm._FilterDatabase" localSheetId="7" hidden="1">'Indirect vs Direct'!$B$1:$B$18</definedName>
    <definedName name="_xlnm._FilterDatabase" localSheetId="5" hidden="1">'Task Durations'!$B$1:$BX$39</definedName>
    <definedName name="_xlnm._FilterDatabase" localSheetId="12" hidden="1">'Time Collectors'!$D$1:$BZ$11</definedName>
    <definedName name="ANOVA_Direct">#REF!</definedName>
    <definedName name="_xlnm.Criteria" localSheetId="6">'Descriptive Stats'!$D$3</definedName>
  </definedNames>
  <calcPr calcId="145621"/>
</workbook>
</file>

<file path=xl/calcChain.xml><?xml version="1.0" encoding="utf-8"?>
<calcChain xmlns="http://schemas.openxmlformats.org/spreadsheetml/2006/main">
  <c r="D13" i="26" l="1" a="1"/>
  <c r="D13" i="26" s="1"/>
  <c r="AB3" i="6" l="1"/>
  <c r="C9" i="9"/>
  <c r="D15" i="21"/>
  <c r="CI27" i="21" l="1"/>
  <c r="CI28" i="21" s="1"/>
  <c r="CI29" i="21"/>
  <c r="CI30" i="21"/>
  <c r="E28" i="31" l="1"/>
  <c r="F28" i="31"/>
  <c r="G28" i="31"/>
  <c r="H28" i="31"/>
  <c r="I28" i="31"/>
  <c r="J28" i="31"/>
  <c r="K28" i="31"/>
  <c r="L28" i="31"/>
  <c r="M28" i="31"/>
  <c r="N28" i="31"/>
  <c r="O28" i="31"/>
  <c r="P28" i="31"/>
  <c r="Q28" i="31"/>
  <c r="R28" i="31"/>
  <c r="S28" i="31"/>
  <c r="T28" i="31"/>
  <c r="U28" i="31"/>
  <c r="V28" i="31"/>
  <c r="W28" i="31"/>
  <c r="X28" i="31"/>
  <c r="Y28" i="31"/>
  <c r="Z28" i="31"/>
  <c r="AA28" i="31"/>
  <c r="AB28" i="31"/>
  <c r="AC28" i="31"/>
  <c r="AD28" i="31"/>
  <c r="AE28" i="31"/>
  <c r="AF28" i="31"/>
  <c r="AG28" i="31"/>
  <c r="AH28" i="31"/>
  <c r="AI28" i="31"/>
  <c r="AJ28" i="31"/>
  <c r="AK28" i="31"/>
  <c r="AL28" i="31"/>
  <c r="AM28" i="31"/>
  <c r="AN28" i="31"/>
  <c r="AO28" i="31"/>
  <c r="AP28" i="31"/>
  <c r="AQ28" i="31"/>
  <c r="AR28" i="31"/>
  <c r="AS28" i="31"/>
  <c r="AT28" i="31"/>
  <c r="AU28" i="31"/>
  <c r="AV28" i="31"/>
  <c r="AW28" i="31"/>
  <c r="AX28" i="31"/>
  <c r="AY28" i="31"/>
  <c r="AZ28" i="31"/>
  <c r="BA28" i="31"/>
  <c r="BB28" i="31"/>
  <c r="BC28" i="31"/>
  <c r="BD28" i="31"/>
  <c r="BE28" i="31"/>
  <c r="BF28" i="31"/>
  <c r="BG28" i="31"/>
  <c r="BH28" i="31"/>
  <c r="BI28" i="31"/>
  <c r="BJ28" i="31"/>
  <c r="BK28" i="31"/>
  <c r="BL28" i="31"/>
  <c r="BM28" i="31"/>
  <c r="BN28" i="31"/>
  <c r="BO28" i="31"/>
  <c r="BP28" i="31"/>
  <c r="BQ28" i="31"/>
  <c r="BR28" i="31"/>
  <c r="BS28" i="31"/>
  <c r="BT28" i="31"/>
  <c r="BU28" i="31"/>
  <c r="BV28" i="31"/>
  <c r="BW28" i="31"/>
  <c r="BX28" i="31"/>
  <c r="BY28" i="31"/>
  <c r="BZ28" i="31"/>
  <c r="CA28" i="31"/>
  <c r="CB28" i="31"/>
  <c r="CC28" i="31"/>
  <c r="CD28" i="31"/>
  <c r="CE28" i="31"/>
  <c r="CF28" i="31"/>
  <c r="CG28" i="31"/>
  <c r="CH28" i="31"/>
  <c r="CI28" i="31"/>
  <c r="CJ28" i="31"/>
  <c r="CK28" i="31"/>
  <c r="CL28" i="31"/>
  <c r="CM28" i="31"/>
  <c r="E29" i="31"/>
  <c r="F29" i="31"/>
  <c r="G29" i="31"/>
  <c r="H29" i="31"/>
  <c r="I29" i="31"/>
  <c r="J29" i="31"/>
  <c r="K29" i="31"/>
  <c r="L29" i="31"/>
  <c r="M29" i="31"/>
  <c r="N29" i="31"/>
  <c r="O29" i="31"/>
  <c r="P29" i="31"/>
  <c r="Q29" i="31"/>
  <c r="R29" i="31"/>
  <c r="S29" i="31"/>
  <c r="T29" i="31"/>
  <c r="U29" i="31"/>
  <c r="V29" i="31"/>
  <c r="W29" i="31"/>
  <c r="X29" i="31"/>
  <c r="Y29" i="31"/>
  <c r="Z29" i="31"/>
  <c r="AA29" i="31"/>
  <c r="AB29" i="31"/>
  <c r="AC29" i="31"/>
  <c r="AD29" i="31"/>
  <c r="AE29" i="31"/>
  <c r="AF29" i="31"/>
  <c r="AG29" i="31"/>
  <c r="AH29" i="31"/>
  <c r="AI29" i="31"/>
  <c r="AJ29" i="31"/>
  <c r="AK29" i="31"/>
  <c r="AL29" i="31"/>
  <c r="AM29" i="31"/>
  <c r="AN29" i="31"/>
  <c r="AO29" i="31"/>
  <c r="AP29" i="31"/>
  <c r="AQ29" i="31"/>
  <c r="AR29" i="31"/>
  <c r="AS29" i="31"/>
  <c r="AT29" i="31"/>
  <c r="AU29" i="31"/>
  <c r="AV29" i="31"/>
  <c r="AW29" i="31"/>
  <c r="AX29" i="31"/>
  <c r="AY29" i="31"/>
  <c r="AZ29" i="31"/>
  <c r="BA29" i="31"/>
  <c r="BB29" i="31"/>
  <c r="BC29" i="31"/>
  <c r="BD29" i="31"/>
  <c r="BE29" i="31"/>
  <c r="BF29" i="31"/>
  <c r="BG29" i="31"/>
  <c r="BH29" i="31"/>
  <c r="BI29" i="31"/>
  <c r="BJ29" i="31"/>
  <c r="BK29" i="31"/>
  <c r="BL29" i="31"/>
  <c r="BM29" i="31"/>
  <c r="BN29" i="31"/>
  <c r="BO29" i="31"/>
  <c r="BP29" i="31"/>
  <c r="BQ29" i="31"/>
  <c r="BR29" i="31"/>
  <c r="BS29" i="31"/>
  <c r="BT29" i="31"/>
  <c r="BU29" i="31"/>
  <c r="BV29" i="31"/>
  <c r="BW29" i="31"/>
  <c r="BX29" i="31"/>
  <c r="BY29" i="31"/>
  <c r="BZ29" i="31"/>
  <c r="CA29" i="31"/>
  <c r="CB29" i="31"/>
  <c r="CC29" i="31"/>
  <c r="CD29" i="31"/>
  <c r="CE29" i="31"/>
  <c r="CF29" i="31"/>
  <c r="CG29" i="31"/>
  <c r="CH29" i="31"/>
  <c r="CI29" i="31"/>
  <c r="CJ29" i="31"/>
  <c r="CK29" i="31"/>
  <c r="CL29" i="31"/>
  <c r="CM29" i="31"/>
  <c r="E30" i="31"/>
  <c r="F30" i="31"/>
  <c r="G30" i="31"/>
  <c r="H30" i="31"/>
  <c r="I30" i="31"/>
  <c r="J30" i="31"/>
  <c r="K30" i="31"/>
  <c r="L30" i="31"/>
  <c r="M30" i="31"/>
  <c r="N30" i="31"/>
  <c r="O30" i="31"/>
  <c r="P30" i="31"/>
  <c r="Q30" i="31"/>
  <c r="R30" i="31"/>
  <c r="S30" i="31"/>
  <c r="T30" i="31"/>
  <c r="U30" i="31"/>
  <c r="V30" i="31"/>
  <c r="W30" i="31"/>
  <c r="X30" i="31"/>
  <c r="Y30" i="31"/>
  <c r="Z30" i="31"/>
  <c r="AA30" i="31"/>
  <c r="AB30" i="31"/>
  <c r="AC30" i="31"/>
  <c r="AD30" i="31"/>
  <c r="AE30" i="31"/>
  <c r="AF30" i="31"/>
  <c r="AG30" i="31"/>
  <c r="AH30" i="31"/>
  <c r="AI30" i="31"/>
  <c r="AJ30" i="31"/>
  <c r="AK30" i="31"/>
  <c r="AL30" i="31"/>
  <c r="AM30" i="31"/>
  <c r="AN30" i="31"/>
  <c r="AO30" i="31"/>
  <c r="AP30" i="31"/>
  <c r="AQ30" i="31"/>
  <c r="AR30" i="31"/>
  <c r="AS30" i="31"/>
  <c r="AT30" i="31"/>
  <c r="AU30" i="31"/>
  <c r="AV30" i="31"/>
  <c r="AW30" i="31"/>
  <c r="AX30" i="31"/>
  <c r="AY30" i="31"/>
  <c r="AZ30" i="31"/>
  <c r="BA30" i="31"/>
  <c r="BB30" i="31"/>
  <c r="BC30" i="31"/>
  <c r="BD30" i="31"/>
  <c r="BE30" i="31"/>
  <c r="BF30" i="31"/>
  <c r="BG30" i="31"/>
  <c r="BH30" i="31"/>
  <c r="BI30" i="31"/>
  <c r="BJ30" i="31"/>
  <c r="BK30" i="31"/>
  <c r="BL30" i="31"/>
  <c r="BM30" i="31"/>
  <c r="BN30" i="31"/>
  <c r="BO30" i="31"/>
  <c r="BP30" i="31"/>
  <c r="BQ30" i="31"/>
  <c r="BR30" i="31"/>
  <c r="BS30" i="31"/>
  <c r="BT30" i="31"/>
  <c r="BU30" i="31"/>
  <c r="BV30" i="31"/>
  <c r="BW30" i="31"/>
  <c r="BX30" i="31"/>
  <c r="BY30" i="31"/>
  <c r="BZ30" i="31"/>
  <c r="CA30" i="31"/>
  <c r="CB30" i="31"/>
  <c r="CC30" i="31"/>
  <c r="CD30" i="31"/>
  <c r="CE30" i="31"/>
  <c r="CF30" i="31"/>
  <c r="CG30" i="31"/>
  <c r="CH30" i="31"/>
  <c r="CI30" i="31"/>
  <c r="CJ30" i="31"/>
  <c r="CK30" i="31"/>
  <c r="CL30" i="31"/>
  <c r="CM30" i="31"/>
  <c r="E31" i="31"/>
  <c r="F31" i="31"/>
  <c r="G31" i="31"/>
  <c r="H31" i="31"/>
  <c r="I31" i="31"/>
  <c r="J31" i="31"/>
  <c r="K31" i="31"/>
  <c r="L31" i="31"/>
  <c r="M31" i="31"/>
  <c r="N31" i="31"/>
  <c r="O31" i="31"/>
  <c r="P31" i="31"/>
  <c r="Q31" i="31"/>
  <c r="R31" i="31"/>
  <c r="S31" i="31"/>
  <c r="T31" i="31"/>
  <c r="U31" i="31"/>
  <c r="V31" i="31"/>
  <c r="W31" i="31"/>
  <c r="X31" i="31"/>
  <c r="Y31" i="31"/>
  <c r="Z31" i="31"/>
  <c r="AA31" i="31"/>
  <c r="AB31" i="31"/>
  <c r="AC31" i="31"/>
  <c r="AD31" i="31"/>
  <c r="AE31" i="31"/>
  <c r="AF31" i="31"/>
  <c r="AG31" i="31"/>
  <c r="AH31" i="31"/>
  <c r="AI31" i="31"/>
  <c r="AJ31" i="31"/>
  <c r="AK31" i="31"/>
  <c r="AL31" i="31"/>
  <c r="AM31" i="31"/>
  <c r="AN31" i="31"/>
  <c r="AO31" i="31"/>
  <c r="AP31" i="31"/>
  <c r="AQ31" i="31"/>
  <c r="AR31" i="31"/>
  <c r="AS31" i="31"/>
  <c r="AT31" i="31"/>
  <c r="AU31" i="31"/>
  <c r="AV31" i="31"/>
  <c r="AW31" i="31"/>
  <c r="AX31" i="31"/>
  <c r="AY31" i="31"/>
  <c r="AZ31" i="31"/>
  <c r="BA31" i="31"/>
  <c r="BB31" i="31"/>
  <c r="BC31" i="31"/>
  <c r="BD31" i="31"/>
  <c r="BE31" i="31"/>
  <c r="BF31" i="31"/>
  <c r="BG31" i="31"/>
  <c r="BH31" i="31"/>
  <c r="BI31" i="31"/>
  <c r="BJ31" i="31"/>
  <c r="BK31" i="31"/>
  <c r="BL31" i="31"/>
  <c r="BM31" i="31"/>
  <c r="BN31" i="31"/>
  <c r="BO31" i="31"/>
  <c r="BP31" i="31"/>
  <c r="BQ31" i="31"/>
  <c r="BR31" i="31"/>
  <c r="BS31" i="31"/>
  <c r="BT31" i="31"/>
  <c r="BU31" i="31"/>
  <c r="BV31" i="31"/>
  <c r="BW31" i="31"/>
  <c r="BX31" i="31"/>
  <c r="BY31" i="31"/>
  <c r="BZ31" i="31"/>
  <c r="CA31" i="31"/>
  <c r="CB31" i="31"/>
  <c r="CC31" i="31"/>
  <c r="CD31" i="31"/>
  <c r="CE31" i="31"/>
  <c r="CF31" i="31"/>
  <c r="CG31" i="31"/>
  <c r="CH31" i="31"/>
  <c r="CI31" i="31"/>
  <c r="CJ31" i="31"/>
  <c r="CK31" i="31"/>
  <c r="CL31" i="31"/>
  <c r="CM31" i="31"/>
  <c r="E32" i="31"/>
  <c r="F32" i="31"/>
  <c r="G32" i="31"/>
  <c r="H32" i="31"/>
  <c r="I32" i="31"/>
  <c r="J32" i="31"/>
  <c r="K32" i="31"/>
  <c r="L32" i="31"/>
  <c r="M32" i="31"/>
  <c r="N32" i="31"/>
  <c r="O32" i="31"/>
  <c r="P32" i="31"/>
  <c r="Q32" i="31"/>
  <c r="R32" i="31"/>
  <c r="S32" i="31"/>
  <c r="T32" i="31"/>
  <c r="U32" i="31"/>
  <c r="V32" i="31"/>
  <c r="W32" i="31"/>
  <c r="X32" i="31"/>
  <c r="Y32" i="31"/>
  <c r="Z32" i="31"/>
  <c r="AA32" i="31"/>
  <c r="AB32" i="31"/>
  <c r="AC32" i="31"/>
  <c r="AD32" i="31"/>
  <c r="AE32" i="31"/>
  <c r="AF32" i="31"/>
  <c r="AG32" i="31"/>
  <c r="AH32" i="31"/>
  <c r="AI32" i="31"/>
  <c r="AJ32" i="31"/>
  <c r="AK32" i="31"/>
  <c r="AL32" i="31"/>
  <c r="AM32" i="31"/>
  <c r="AN32" i="31"/>
  <c r="AO32" i="31"/>
  <c r="AP32" i="31"/>
  <c r="AQ32" i="31"/>
  <c r="AR32" i="31"/>
  <c r="AS32" i="31"/>
  <c r="AT32" i="31"/>
  <c r="AU32" i="31"/>
  <c r="AV32" i="31"/>
  <c r="AW32" i="31"/>
  <c r="AX32" i="31"/>
  <c r="AY32" i="31"/>
  <c r="AZ32" i="31"/>
  <c r="BA32" i="31"/>
  <c r="BB32" i="31"/>
  <c r="BC32" i="31"/>
  <c r="BD32" i="31"/>
  <c r="BE32" i="31"/>
  <c r="BF32" i="31"/>
  <c r="BG32" i="31"/>
  <c r="BH32" i="31"/>
  <c r="BI32" i="31"/>
  <c r="BJ32" i="31"/>
  <c r="BK32" i="31"/>
  <c r="BL32" i="31"/>
  <c r="BM32" i="31"/>
  <c r="BN32" i="31"/>
  <c r="BO32" i="31"/>
  <c r="BP32" i="31"/>
  <c r="BQ32" i="31"/>
  <c r="BR32" i="31"/>
  <c r="BS32" i="31"/>
  <c r="BT32" i="31"/>
  <c r="BU32" i="31"/>
  <c r="BV32" i="31"/>
  <c r="BW32" i="31"/>
  <c r="BX32" i="31"/>
  <c r="BY32" i="31"/>
  <c r="BZ32" i="31"/>
  <c r="CA32" i="31"/>
  <c r="CB32" i="31"/>
  <c r="CC32" i="31"/>
  <c r="CD32" i="31"/>
  <c r="CE32" i="31"/>
  <c r="CF32" i="31"/>
  <c r="CG32" i="31"/>
  <c r="CH32" i="31"/>
  <c r="CI32" i="31"/>
  <c r="CJ32" i="31"/>
  <c r="CK32" i="31"/>
  <c r="CL32" i="31"/>
  <c r="CM32" i="31"/>
  <c r="CM1" i="29"/>
  <c r="CM2" i="29"/>
  <c r="CM3" i="29"/>
  <c r="CM4" i="29"/>
  <c r="CM5" i="29"/>
  <c r="CM6" i="29"/>
  <c r="H1" i="29"/>
  <c r="I1" i="29"/>
  <c r="J1" i="29"/>
  <c r="K1" i="29"/>
  <c r="L1" i="29"/>
  <c r="M1" i="29"/>
  <c r="N1" i="29"/>
  <c r="O1" i="29"/>
  <c r="P1" i="29"/>
  <c r="Q1" i="29"/>
  <c r="R1" i="29"/>
  <c r="S1" i="29"/>
  <c r="T1" i="29"/>
  <c r="U1" i="29"/>
  <c r="V1" i="29"/>
  <c r="W1" i="29"/>
  <c r="X1" i="29"/>
  <c r="Y1" i="29"/>
  <c r="Z1" i="29"/>
  <c r="AA1" i="29"/>
  <c r="AB1" i="29"/>
  <c r="AC1" i="29"/>
  <c r="AD1" i="29"/>
  <c r="AE1" i="29"/>
  <c r="AF1" i="29"/>
  <c r="AG1" i="29"/>
  <c r="AH1" i="29"/>
  <c r="AI1" i="29"/>
  <c r="AJ1" i="29"/>
  <c r="AK1" i="29"/>
  <c r="AL1" i="29"/>
  <c r="AM1" i="29"/>
  <c r="AN1" i="29"/>
  <c r="AO1" i="29"/>
  <c r="AP1" i="29"/>
  <c r="AQ1" i="29"/>
  <c r="AR1" i="29"/>
  <c r="AS1" i="29"/>
  <c r="AT1" i="29"/>
  <c r="AU1" i="29"/>
  <c r="AV1" i="29"/>
  <c r="AW1" i="29"/>
  <c r="AX1" i="29"/>
  <c r="AY1" i="29"/>
  <c r="AZ1" i="29"/>
  <c r="BA1" i="29"/>
  <c r="BB1" i="29"/>
  <c r="BC1" i="29"/>
  <c r="BD1" i="29"/>
  <c r="BE1" i="29"/>
  <c r="BF1" i="29"/>
  <c r="BG1" i="29"/>
  <c r="BH1" i="29"/>
  <c r="BI1" i="29"/>
  <c r="BJ1" i="29"/>
  <c r="BK1" i="29"/>
  <c r="BL1" i="29"/>
  <c r="BM1" i="29"/>
  <c r="BN1" i="29"/>
  <c r="BO1" i="29"/>
  <c r="BP1" i="29"/>
  <c r="BQ1" i="29"/>
  <c r="BR1" i="29"/>
  <c r="BS1" i="29"/>
  <c r="BT1" i="29"/>
  <c r="BU1" i="29"/>
  <c r="BV1" i="29"/>
  <c r="BW1" i="29"/>
  <c r="BX1" i="29"/>
  <c r="BY1" i="29"/>
  <c r="BZ1" i="29"/>
  <c r="CA1" i="29"/>
  <c r="CB1" i="29"/>
  <c r="CC1" i="29"/>
  <c r="CD1" i="29"/>
  <c r="CE1" i="29"/>
  <c r="CF1" i="29"/>
  <c r="CG1" i="29"/>
  <c r="CH1" i="29"/>
  <c r="CI1" i="29"/>
  <c r="CJ1" i="29"/>
  <c r="CK1" i="29"/>
  <c r="CL1" i="29"/>
  <c r="H2" i="29"/>
  <c r="I2" i="29"/>
  <c r="J2" i="29"/>
  <c r="K2" i="29"/>
  <c r="L2" i="29"/>
  <c r="M2" i="29"/>
  <c r="N2" i="29"/>
  <c r="O2" i="29"/>
  <c r="P2" i="29"/>
  <c r="Q2" i="29"/>
  <c r="R2" i="29"/>
  <c r="S2" i="29"/>
  <c r="T2" i="29"/>
  <c r="U2" i="29"/>
  <c r="V2" i="29"/>
  <c r="W2" i="29"/>
  <c r="X2" i="29"/>
  <c r="Y2" i="29"/>
  <c r="Z2" i="29"/>
  <c r="AA2" i="29"/>
  <c r="AB2" i="29"/>
  <c r="AC2" i="29"/>
  <c r="AD2" i="29"/>
  <c r="AE2" i="29"/>
  <c r="AF2" i="29"/>
  <c r="AG2" i="29"/>
  <c r="AH2" i="29"/>
  <c r="AI2" i="29"/>
  <c r="AJ2" i="29"/>
  <c r="AK2" i="29"/>
  <c r="AL2" i="29"/>
  <c r="AM2" i="29"/>
  <c r="AN2" i="29"/>
  <c r="AO2" i="29"/>
  <c r="AP2" i="29"/>
  <c r="AQ2" i="29"/>
  <c r="AR2" i="29"/>
  <c r="AS2" i="29"/>
  <c r="AT2" i="29"/>
  <c r="AU2" i="29"/>
  <c r="AV2" i="29"/>
  <c r="AW2" i="29"/>
  <c r="AX2" i="29"/>
  <c r="AY2" i="29"/>
  <c r="AZ2" i="29"/>
  <c r="BA2" i="29"/>
  <c r="BB2" i="29"/>
  <c r="BC2" i="29"/>
  <c r="BD2" i="29"/>
  <c r="BE2" i="29"/>
  <c r="BF2" i="29"/>
  <c r="BG2" i="29"/>
  <c r="BH2" i="29"/>
  <c r="BI2" i="29"/>
  <c r="BJ2" i="29"/>
  <c r="BK2" i="29"/>
  <c r="BL2" i="29"/>
  <c r="BM2" i="29"/>
  <c r="BN2" i="29"/>
  <c r="BO2" i="29"/>
  <c r="BP2" i="29"/>
  <c r="BQ2" i="29"/>
  <c r="BR2" i="29"/>
  <c r="BS2" i="29"/>
  <c r="BT2" i="29"/>
  <c r="BU2" i="29"/>
  <c r="BV2" i="29"/>
  <c r="BW2" i="29"/>
  <c r="BX2" i="29"/>
  <c r="BY2" i="29"/>
  <c r="BZ2" i="29"/>
  <c r="CA2" i="29"/>
  <c r="CB2" i="29"/>
  <c r="CC2" i="29"/>
  <c r="CD2" i="29"/>
  <c r="CE2" i="29"/>
  <c r="CF2" i="29"/>
  <c r="CG2" i="29"/>
  <c r="CH2" i="29"/>
  <c r="CI2" i="29"/>
  <c r="CJ2" i="29"/>
  <c r="CK2" i="29"/>
  <c r="CL2" i="29"/>
  <c r="H3" i="29"/>
  <c r="I3" i="29"/>
  <c r="J3" i="29"/>
  <c r="K3" i="29"/>
  <c r="L3" i="29"/>
  <c r="M3" i="29"/>
  <c r="N3" i="29"/>
  <c r="O3" i="29"/>
  <c r="P3" i="29"/>
  <c r="Q3" i="29"/>
  <c r="R3" i="29"/>
  <c r="S3" i="29"/>
  <c r="T3" i="29"/>
  <c r="U3" i="29"/>
  <c r="V3" i="29"/>
  <c r="W3" i="29"/>
  <c r="X3" i="29"/>
  <c r="Y3" i="29"/>
  <c r="Z3" i="29"/>
  <c r="AA3" i="29"/>
  <c r="AB3" i="29"/>
  <c r="AC3" i="29"/>
  <c r="AD3" i="29"/>
  <c r="AE3" i="29"/>
  <c r="AF3" i="29"/>
  <c r="AG3" i="29"/>
  <c r="AH3" i="29"/>
  <c r="AI3" i="29"/>
  <c r="AJ3" i="29"/>
  <c r="AK3" i="29"/>
  <c r="AL3" i="29"/>
  <c r="AM3" i="29"/>
  <c r="AN3" i="29"/>
  <c r="AO3" i="29"/>
  <c r="AP3" i="29"/>
  <c r="AQ3" i="29"/>
  <c r="AR3" i="29"/>
  <c r="AS3" i="29"/>
  <c r="AT3" i="29"/>
  <c r="AU3" i="29"/>
  <c r="AV3" i="29"/>
  <c r="AW3" i="29"/>
  <c r="AX3" i="29"/>
  <c r="AY3" i="29"/>
  <c r="AZ3" i="29"/>
  <c r="BA3" i="29"/>
  <c r="BB3" i="29"/>
  <c r="BC3" i="29"/>
  <c r="BD3" i="29"/>
  <c r="BE3" i="29"/>
  <c r="BF3" i="29"/>
  <c r="BG3" i="29"/>
  <c r="BH3" i="29"/>
  <c r="BI3" i="29"/>
  <c r="BJ3" i="29"/>
  <c r="BK3" i="29"/>
  <c r="BL3" i="29"/>
  <c r="BM3" i="29"/>
  <c r="BN3" i="29"/>
  <c r="BO3" i="29"/>
  <c r="BP3" i="29"/>
  <c r="BQ3" i="29"/>
  <c r="BR3" i="29"/>
  <c r="BS3" i="29"/>
  <c r="BT3" i="29"/>
  <c r="BU3" i="29"/>
  <c r="BV3" i="29"/>
  <c r="BW3" i="29"/>
  <c r="BX3" i="29"/>
  <c r="BY3" i="29"/>
  <c r="BZ3" i="29"/>
  <c r="CA3" i="29"/>
  <c r="CB3" i="29"/>
  <c r="CC3" i="29"/>
  <c r="CD3" i="29"/>
  <c r="CE3" i="29"/>
  <c r="CF3" i="29"/>
  <c r="CG3" i="29"/>
  <c r="CH3" i="29"/>
  <c r="CI3" i="29"/>
  <c r="CJ3" i="29"/>
  <c r="CK3" i="29"/>
  <c r="CL3" i="29"/>
  <c r="H4" i="29"/>
  <c r="I4" i="29"/>
  <c r="J4" i="29"/>
  <c r="K4" i="29"/>
  <c r="L4" i="29"/>
  <c r="M4" i="29"/>
  <c r="N4" i="29"/>
  <c r="O4" i="29"/>
  <c r="P4" i="29"/>
  <c r="Q4" i="29"/>
  <c r="R4" i="29"/>
  <c r="S4" i="29"/>
  <c r="U4" i="29"/>
  <c r="V4" i="29"/>
  <c r="W4" i="29"/>
  <c r="X4" i="29"/>
  <c r="Y4" i="29"/>
  <c r="Z4" i="29"/>
  <c r="AA4" i="29"/>
  <c r="AB4" i="29"/>
  <c r="AC4" i="29"/>
  <c r="AD4" i="29"/>
  <c r="AE4" i="29"/>
  <c r="AF4" i="29"/>
  <c r="AG4" i="29"/>
  <c r="AH4" i="29"/>
  <c r="AI4" i="29"/>
  <c r="AJ4" i="29"/>
  <c r="AK4" i="29"/>
  <c r="AL4" i="29"/>
  <c r="AM4" i="29"/>
  <c r="AN4" i="29"/>
  <c r="AO4" i="29"/>
  <c r="AP4" i="29"/>
  <c r="AQ4" i="29"/>
  <c r="AR4" i="29"/>
  <c r="AS4" i="29"/>
  <c r="AT4" i="29"/>
  <c r="AU4" i="29"/>
  <c r="AV4" i="29"/>
  <c r="AW4" i="29"/>
  <c r="AX4" i="29"/>
  <c r="AY4" i="29"/>
  <c r="AZ4" i="29"/>
  <c r="BA4" i="29"/>
  <c r="BB4" i="29"/>
  <c r="BC4" i="29"/>
  <c r="BD4" i="29"/>
  <c r="BE4" i="29"/>
  <c r="BF4" i="29"/>
  <c r="BG4" i="29"/>
  <c r="BH4" i="29"/>
  <c r="BI4" i="29"/>
  <c r="BJ4" i="29"/>
  <c r="BK4" i="29"/>
  <c r="BL4" i="29"/>
  <c r="BM4" i="29"/>
  <c r="BN4" i="29"/>
  <c r="BO4" i="29"/>
  <c r="BP4" i="29"/>
  <c r="BQ4" i="29"/>
  <c r="BR4" i="29"/>
  <c r="BS4" i="29"/>
  <c r="BT4" i="29"/>
  <c r="BU4" i="29"/>
  <c r="BV4" i="29"/>
  <c r="BW4" i="29"/>
  <c r="BX4" i="29"/>
  <c r="BY4" i="29"/>
  <c r="BZ4" i="29"/>
  <c r="CA4" i="29"/>
  <c r="CB4" i="29"/>
  <c r="CC4" i="29"/>
  <c r="CD4" i="29"/>
  <c r="CE4" i="29"/>
  <c r="CF4" i="29"/>
  <c r="CG4" i="29"/>
  <c r="CH4" i="29"/>
  <c r="CI4" i="29"/>
  <c r="CJ4" i="29"/>
  <c r="CK4" i="29"/>
  <c r="CL4" i="29"/>
  <c r="H5" i="29"/>
  <c r="I5" i="29"/>
  <c r="J5" i="29"/>
  <c r="K5" i="29"/>
  <c r="L5" i="29"/>
  <c r="M5" i="29"/>
  <c r="N5" i="29"/>
  <c r="O5" i="29"/>
  <c r="P5" i="29"/>
  <c r="Q5" i="29"/>
  <c r="R5" i="29"/>
  <c r="S5" i="29"/>
  <c r="T5" i="29"/>
  <c r="U5" i="29"/>
  <c r="V5" i="29"/>
  <c r="W5" i="29"/>
  <c r="X5" i="29"/>
  <c r="Y5" i="29"/>
  <c r="Z5" i="29"/>
  <c r="AA5" i="29"/>
  <c r="AB5" i="29"/>
  <c r="AC5" i="29"/>
  <c r="AD5" i="29"/>
  <c r="AE5" i="29"/>
  <c r="AF5" i="29"/>
  <c r="AG5" i="29"/>
  <c r="AH5" i="29"/>
  <c r="AI5" i="29"/>
  <c r="AJ5" i="29"/>
  <c r="AK5" i="29"/>
  <c r="AL5" i="29"/>
  <c r="AM5" i="29"/>
  <c r="AN5" i="29"/>
  <c r="AO5" i="29"/>
  <c r="AP5" i="29"/>
  <c r="AQ5" i="29"/>
  <c r="AR5" i="29"/>
  <c r="AS5" i="29"/>
  <c r="AT5" i="29"/>
  <c r="AU5" i="29"/>
  <c r="AV5" i="29"/>
  <c r="AW5" i="29"/>
  <c r="AX5" i="29"/>
  <c r="AY5" i="29"/>
  <c r="AZ5" i="29"/>
  <c r="BA5" i="29"/>
  <c r="BB5" i="29"/>
  <c r="BC5" i="29"/>
  <c r="BD5" i="29"/>
  <c r="BE5" i="29"/>
  <c r="BF5" i="29"/>
  <c r="BG5" i="29"/>
  <c r="BH5" i="29"/>
  <c r="BI5" i="29"/>
  <c r="BJ5" i="29"/>
  <c r="BK5" i="29"/>
  <c r="BL5" i="29"/>
  <c r="BM5" i="29"/>
  <c r="BN5" i="29"/>
  <c r="BO5" i="29"/>
  <c r="BP5" i="29"/>
  <c r="BQ5" i="29"/>
  <c r="BR5" i="29"/>
  <c r="BS5" i="29"/>
  <c r="BT5" i="29"/>
  <c r="BU5" i="29"/>
  <c r="BV5" i="29"/>
  <c r="BW5" i="29"/>
  <c r="BX5" i="29"/>
  <c r="BY5" i="29"/>
  <c r="BZ5" i="29"/>
  <c r="CA5" i="29"/>
  <c r="CB5" i="29"/>
  <c r="CC5" i="29"/>
  <c r="CD5" i="29"/>
  <c r="CE5" i="29"/>
  <c r="CF5" i="29"/>
  <c r="CG5" i="29"/>
  <c r="CH5" i="29"/>
  <c r="CI5" i="29"/>
  <c r="CJ5" i="29"/>
  <c r="CK5" i="29"/>
  <c r="CL5" i="29"/>
  <c r="H6" i="29"/>
  <c r="I6" i="29"/>
  <c r="J6" i="29"/>
  <c r="K6" i="29"/>
  <c r="L6" i="29"/>
  <c r="M6" i="29"/>
  <c r="N6" i="29"/>
  <c r="O6" i="29"/>
  <c r="P6" i="29"/>
  <c r="Q6" i="29"/>
  <c r="R6" i="29"/>
  <c r="S6" i="29"/>
  <c r="T6" i="29"/>
  <c r="U6" i="29"/>
  <c r="V6" i="29"/>
  <c r="W6" i="29"/>
  <c r="X6" i="29"/>
  <c r="Y6" i="29"/>
  <c r="Z6" i="29"/>
  <c r="AA6" i="29"/>
  <c r="AB6" i="29"/>
  <c r="AC6" i="29"/>
  <c r="AD6" i="29"/>
  <c r="AE6" i="29"/>
  <c r="AF6" i="29"/>
  <c r="AG6" i="29"/>
  <c r="AH6" i="29"/>
  <c r="AI6" i="29"/>
  <c r="AJ6" i="29"/>
  <c r="AK6" i="29"/>
  <c r="AL6" i="29"/>
  <c r="AM6" i="29"/>
  <c r="AN6" i="29"/>
  <c r="AO6" i="29"/>
  <c r="AP6" i="29"/>
  <c r="AQ6" i="29"/>
  <c r="AR6" i="29"/>
  <c r="AS6" i="29"/>
  <c r="AT6" i="29"/>
  <c r="AU6" i="29"/>
  <c r="AV6" i="29"/>
  <c r="AW6" i="29"/>
  <c r="AX6" i="29"/>
  <c r="AY6" i="29"/>
  <c r="AZ6" i="29"/>
  <c r="BA6" i="29"/>
  <c r="BB6" i="29"/>
  <c r="BC6" i="29"/>
  <c r="BD6" i="29"/>
  <c r="BE6" i="29"/>
  <c r="BF6" i="29"/>
  <c r="BG6" i="29"/>
  <c r="BH6" i="29"/>
  <c r="BI6" i="29"/>
  <c r="BJ6" i="29"/>
  <c r="BK6" i="29"/>
  <c r="BL6" i="29"/>
  <c r="BM6" i="29"/>
  <c r="BN6" i="29"/>
  <c r="BO6" i="29"/>
  <c r="BP6" i="29"/>
  <c r="BQ6" i="29"/>
  <c r="BR6" i="29"/>
  <c r="BS6" i="29"/>
  <c r="BT6" i="29"/>
  <c r="BU6" i="29"/>
  <c r="BV6" i="29"/>
  <c r="BW6" i="29"/>
  <c r="BX6" i="29"/>
  <c r="BY6" i="29"/>
  <c r="BZ6" i="29"/>
  <c r="CA6" i="29"/>
  <c r="CB6" i="29"/>
  <c r="CC6" i="29"/>
  <c r="CD6" i="29"/>
  <c r="CE6" i="29"/>
  <c r="CF6" i="29"/>
  <c r="CG6" i="29"/>
  <c r="CH6" i="29"/>
  <c r="CI6" i="29"/>
  <c r="CJ6" i="29"/>
  <c r="CK6" i="29"/>
  <c r="CL6" i="29"/>
  <c r="E1" i="29"/>
  <c r="F1" i="29"/>
  <c r="G1" i="29"/>
  <c r="E2" i="29"/>
  <c r="F2" i="29"/>
  <c r="G2" i="29"/>
  <c r="E3" i="29"/>
  <c r="F3" i="29"/>
  <c r="G3" i="29"/>
  <c r="E4" i="29"/>
  <c r="F4" i="29"/>
  <c r="G4" i="29"/>
  <c r="E5" i="29"/>
  <c r="F5" i="29"/>
  <c r="G5" i="29"/>
  <c r="E6" i="29"/>
  <c r="F6" i="29"/>
  <c r="G6" i="29"/>
  <c r="CL1" i="26"/>
  <c r="CL2" i="26"/>
  <c r="CL3" i="26"/>
  <c r="CL4" i="26"/>
  <c r="CL6" i="26"/>
  <c r="CL7" i="26"/>
  <c r="CL8" i="26"/>
  <c r="CL9" i="26"/>
  <c r="CM1" i="26"/>
  <c r="D32" i="3"/>
  <c r="E32" i="3"/>
  <c r="F32" i="3"/>
  <c r="G32" i="3"/>
  <c r="D33" i="3"/>
  <c r="E33" i="3"/>
  <c r="F33" i="3"/>
  <c r="G33" i="3"/>
  <c r="D34" i="3"/>
  <c r="E34" i="3"/>
  <c r="F34" i="3"/>
  <c r="G34" i="3"/>
  <c r="D35" i="3"/>
  <c r="E35" i="3"/>
  <c r="F35" i="3"/>
  <c r="G35" i="3"/>
  <c r="D36" i="3"/>
  <c r="E36" i="3"/>
  <c r="F36" i="3"/>
  <c r="G36" i="3"/>
  <c r="D37" i="3"/>
  <c r="E37" i="3"/>
  <c r="F37" i="3"/>
  <c r="G37" i="3"/>
  <c r="D38" i="3"/>
  <c r="E38" i="3"/>
  <c r="F38" i="3"/>
  <c r="G38" i="3"/>
  <c r="D39" i="3"/>
  <c r="E39" i="3"/>
  <c r="F39" i="3"/>
  <c r="G39" i="3"/>
  <c r="D40" i="3"/>
  <c r="E40" i="3"/>
  <c r="F40" i="3"/>
  <c r="G40" i="3"/>
  <c r="D41" i="3"/>
  <c r="E41" i="3"/>
  <c r="F41" i="3"/>
  <c r="G41" i="3"/>
  <c r="D42" i="3"/>
  <c r="E42" i="3"/>
  <c r="F42" i="3"/>
  <c r="G42" i="3"/>
  <c r="D43" i="3"/>
  <c r="E43" i="3"/>
  <c r="F43" i="3"/>
  <c r="G43" i="3"/>
  <c r="D44" i="3"/>
  <c r="E44" i="3"/>
  <c r="F44" i="3"/>
  <c r="G44" i="3"/>
  <c r="D45" i="3"/>
  <c r="E45" i="3"/>
  <c r="F45" i="3"/>
  <c r="G45" i="3"/>
  <c r="D46" i="3"/>
  <c r="E46" i="3"/>
  <c r="F46" i="3"/>
  <c r="G46" i="3"/>
  <c r="D47" i="3"/>
  <c r="E47" i="3"/>
  <c r="F47" i="3"/>
  <c r="G47" i="3"/>
  <c r="D48" i="3"/>
  <c r="E48" i="3"/>
  <c r="F48" i="3"/>
  <c r="G48" i="3"/>
  <c r="D49" i="3"/>
  <c r="E49" i="3"/>
  <c r="F49" i="3"/>
  <c r="G49" i="3"/>
  <c r="D50" i="3"/>
  <c r="E50" i="3"/>
  <c r="F50" i="3"/>
  <c r="G50" i="3"/>
  <c r="D51" i="3"/>
  <c r="E51" i="3"/>
  <c r="F51" i="3"/>
  <c r="G51" i="3"/>
  <c r="D52" i="3"/>
  <c r="E52" i="3"/>
  <c r="F52" i="3"/>
  <c r="G52" i="3"/>
  <c r="D53" i="3"/>
  <c r="E53" i="3"/>
  <c r="F53" i="3"/>
  <c r="G53" i="3"/>
  <c r="D54" i="3"/>
  <c r="E54" i="3"/>
  <c r="F54" i="3"/>
  <c r="G54" i="3"/>
  <c r="D55" i="3"/>
  <c r="E55" i="3"/>
  <c r="F55" i="3"/>
  <c r="G55" i="3"/>
  <c r="D56" i="3"/>
  <c r="E56" i="3"/>
  <c r="F56" i="3"/>
  <c r="G56" i="3"/>
  <c r="G31" i="3"/>
  <c r="F31" i="3"/>
  <c r="E31" i="3"/>
  <c r="D31" i="3"/>
  <c r="D30" i="9" l="1"/>
  <c r="C27" i="9"/>
  <c r="C26" i="9"/>
  <c r="C25" i="9"/>
  <c r="C11" i="9"/>
  <c r="C10" i="9"/>
  <c r="D11" i="9"/>
  <c r="D10" i="9"/>
  <c r="D9" i="9"/>
  <c r="H5" i="28" l="1"/>
  <c r="H4" i="28"/>
  <c r="H3" i="28"/>
  <c r="F5" i="28"/>
  <c r="F4" i="28"/>
  <c r="F3" i="28"/>
  <c r="D5" i="28"/>
  <c r="D4" i="28"/>
  <c r="D3" i="28"/>
  <c r="B8" i="33"/>
  <c r="B7" i="33"/>
  <c r="AX37" i="1"/>
  <c r="AX38" i="1"/>
  <c r="AX11" i="29"/>
  <c r="E35" i="2"/>
  <c r="F35" i="2"/>
  <c r="G35" i="2"/>
  <c r="H35" i="2"/>
  <c r="I35" i="2"/>
  <c r="J35" i="2"/>
  <c r="K35" i="2"/>
  <c r="L35" i="2"/>
  <c r="M35" i="2"/>
  <c r="N35" i="2"/>
  <c r="O35" i="2"/>
  <c r="P35" i="2"/>
  <c r="Q35" i="2"/>
  <c r="R35" i="2"/>
  <c r="S35" i="2"/>
  <c r="T35" i="2"/>
  <c r="U35" i="2"/>
  <c r="V35" i="2"/>
  <c r="W35" i="2"/>
  <c r="X35" i="2"/>
  <c r="Y35" i="2"/>
  <c r="Z35" i="2"/>
  <c r="AA35" i="2"/>
  <c r="AB35" i="2"/>
  <c r="AC35" i="2"/>
  <c r="AD35" i="2"/>
  <c r="AE35" i="2"/>
  <c r="AF35" i="2"/>
  <c r="AG35" i="2"/>
  <c r="AH35" i="2"/>
  <c r="AI35" i="2"/>
  <c r="AJ35" i="2"/>
  <c r="AK35" i="2"/>
  <c r="AL35" i="2"/>
  <c r="AM35" i="2"/>
  <c r="AN35" i="2"/>
  <c r="AO35" i="2"/>
  <c r="AP35" i="2"/>
  <c r="AQ35" i="2"/>
  <c r="AR35" i="2"/>
  <c r="AS35" i="2"/>
  <c r="AT35" i="2"/>
  <c r="AU35" i="2"/>
  <c r="AV35" i="2"/>
  <c r="AW35" i="2"/>
  <c r="AX35" i="2"/>
  <c r="AY35" i="2"/>
  <c r="AZ35" i="2"/>
  <c r="BA35" i="2"/>
  <c r="BB35" i="2"/>
  <c r="BC35" i="2"/>
  <c r="BD35" i="2"/>
  <c r="BE35" i="2"/>
  <c r="BF35" i="2"/>
  <c r="BG35" i="2"/>
  <c r="BH35" i="2"/>
  <c r="BI35" i="2"/>
  <c r="BJ35" i="2"/>
  <c r="BK35" i="2"/>
  <c r="BL35" i="2"/>
  <c r="BM35" i="2"/>
  <c r="BN35" i="2"/>
  <c r="BO35" i="2"/>
  <c r="BP35" i="2"/>
  <c r="BQ35" i="2"/>
  <c r="BR35" i="2"/>
  <c r="BS35" i="2"/>
  <c r="BT35" i="2"/>
  <c r="BU35" i="2"/>
  <c r="BV35" i="2"/>
  <c r="BW35" i="2"/>
  <c r="BX35" i="2"/>
  <c r="BY35" i="2"/>
  <c r="BZ35" i="2"/>
  <c r="CA35" i="2"/>
  <c r="CB35" i="2"/>
  <c r="CC35" i="2"/>
  <c r="CD35" i="2"/>
  <c r="CE35" i="2"/>
  <c r="CF35" i="2"/>
  <c r="CG35" i="2"/>
  <c r="CH35" i="2"/>
  <c r="CI35" i="2"/>
  <c r="CJ35" i="2"/>
  <c r="CK35" i="2"/>
  <c r="CL35" i="2"/>
  <c r="CM35" i="2"/>
  <c r="D35" i="2"/>
  <c r="N34" i="2"/>
  <c r="O34" i="2"/>
  <c r="P34" i="2"/>
  <c r="Q34" i="2"/>
  <c r="R34" i="2"/>
  <c r="S34" i="2"/>
  <c r="T34" i="2"/>
  <c r="U34" i="2"/>
  <c r="V34" i="2"/>
  <c r="W34" i="2"/>
  <c r="X34" i="2"/>
  <c r="Y34" i="2"/>
  <c r="Z34" i="2"/>
  <c r="AA34" i="2"/>
  <c r="AB34" i="2"/>
  <c r="AC34" i="2"/>
  <c r="AD34" i="2"/>
  <c r="AE34" i="2"/>
  <c r="AF34" i="2"/>
  <c r="AG34" i="2"/>
  <c r="AH34" i="2"/>
  <c r="AI34" i="2"/>
  <c r="AJ34" i="2"/>
  <c r="AK34" i="2"/>
  <c r="AL34" i="2"/>
  <c r="AN34" i="2"/>
  <c r="AO34" i="2"/>
  <c r="AP34" i="2"/>
  <c r="AQ34" i="2"/>
  <c r="AR34" i="2"/>
  <c r="AS34" i="2"/>
  <c r="AT34" i="2"/>
  <c r="AU34" i="2"/>
  <c r="AW34" i="2"/>
  <c r="AX34" i="2"/>
  <c r="AY34" i="2"/>
  <c r="AZ34" i="2"/>
  <c r="BA34" i="2"/>
  <c r="BB34" i="2"/>
  <c r="BC34" i="2"/>
  <c r="BD34" i="2"/>
  <c r="BE34" i="2"/>
  <c r="BF34" i="2"/>
  <c r="BH34" i="2"/>
  <c r="BI34" i="2"/>
  <c r="BJ34" i="2"/>
  <c r="BK34" i="2"/>
  <c r="BL34" i="2"/>
  <c r="BM34" i="2"/>
  <c r="BN34" i="2"/>
  <c r="BO34" i="2"/>
  <c r="BP34" i="2"/>
  <c r="BQ34" i="2"/>
  <c r="BR34" i="2"/>
  <c r="BT34" i="2"/>
  <c r="BU34" i="2"/>
  <c r="BV34" i="2"/>
  <c r="BW34" i="2"/>
  <c r="BX34" i="2"/>
  <c r="BY34" i="2"/>
  <c r="BZ34" i="2"/>
  <c r="CA34" i="2"/>
  <c r="CB34" i="2"/>
  <c r="CD34" i="2"/>
  <c r="CE34" i="2"/>
  <c r="CF34" i="2"/>
  <c r="CG34" i="2"/>
  <c r="CH34" i="2"/>
  <c r="CI34" i="2"/>
  <c r="CJ34" i="2"/>
  <c r="CK34" i="2"/>
  <c r="CL34" i="2"/>
  <c r="CM34" i="2"/>
  <c r="E34" i="2"/>
  <c r="G34" i="2"/>
  <c r="H34" i="2"/>
  <c r="K34" i="2"/>
  <c r="L34" i="2"/>
  <c r="M34" i="2"/>
  <c r="E1" i="2"/>
  <c r="D1" i="33" s="1"/>
  <c r="D8" i="33" s="1"/>
  <c r="F1" i="2"/>
  <c r="E1" i="33" s="1"/>
  <c r="E8" i="33" s="1"/>
  <c r="G1" i="2"/>
  <c r="F1" i="33" s="1"/>
  <c r="F8" i="33" s="1"/>
  <c r="H1" i="2"/>
  <c r="G1" i="33" s="1"/>
  <c r="G8" i="33" s="1"/>
  <c r="I1" i="2"/>
  <c r="H1" i="33" s="1"/>
  <c r="H8" i="33" s="1"/>
  <c r="J1" i="2"/>
  <c r="I1" i="33" s="1"/>
  <c r="I8" i="33" s="1"/>
  <c r="K1" i="2"/>
  <c r="J1" i="33" s="1"/>
  <c r="J8" i="33" s="1"/>
  <c r="L1" i="2"/>
  <c r="K1" i="33" s="1"/>
  <c r="K8" i="33" s="1"/>
  <c r="M1" i="2"/>
  <c r="L1" i="33" s="1"/>
  <c r="L8" i="33" s="1"/>
  <c r="N1" i="2"/>
  <c r="M1" i="33" s="1"/>
  <c r="M8" i="33" s="1"/>
  <c r="O1" i="2"/>
  <c r="N1" i="33" s="1"/>
  <c r="N8" i="33" s="1"/>
  <c r="P1" i="2"/>
  <c r="O1" i="33" s="1"/>
  <c r="O8" i="33" s="1"/>
  <c r="Q1" i="2"/>
  <c r="P1" i="33" s="1"/>
  <c r="P8" i="33" s="1"/>
  <c r="R1" i="2"/>
  <c r="Q1" i="33" s="1"/>
  <c r="Q8" i="33" s="1"/>
  <c r="S1" i="2"/>
  <c r="R1" i="33" s="1"/>
  <c r="R8" i="33" s="1"/>
  <c r="T1" i="2"/>
  <c r="S1" i="33" s="1"/>
  <c r="S8" i="33" s="1"/>
  <c r="U1" i="2"/>
  <c r="T1" i="33" s="1"/>
  <c r="T8" i="33" s="1"/>
  <c r="V1" i="2"/>
  <c r="U1" i="33" s="1"/>
  <c r="U8" i="33" s="1"/>
  <c r="W1" i="2"/>
  <c r="V1" i="33" s="1"/>
  <c r="V8" i="33" s="1"/>
  <c r="X1" i="2"/>
  <c r="W1" i="33" s="1"/>
  <c r="W8" i="33" s="1"/>
  <c r="Y1" i="2"/>
  <c r="X1" i="33" s="1"/>
  <c r="X8" i="33" s="1"/>
  <c r="Z1" i="2"/>
  <c r="Y1" i="33" s="1"/>
  <c r="Y8" i="33" s="1"/>
  <c r="AA1" i="2"/>
  <c r="Z1" i="33" s="1"/>
  <c r="Z8" i="33" s="1"/>
  <c r="AB1" i="2"/>
  <c r="AA1" i="33" s="1"/>
  <c r="AA8" i="33" s="1"/>
  <c r="AC1" i="2"/>
  <c r="AB1" i="33" s="1"/>
  <c r="AB8" i="33" s="1"/>
  <c r="AD1" i="2"/>
  <c r="AC1" i="33" s="1"/>
  <c r="AC8" i="33" s="1"/>
  <c r="AE1" i="2"/>
  <c r="AD1" i="33" s="1"/>
  <c r="AD8" i="33" s="1"/>
  <c r="AF1" i="2"/>
  <c r="AE1" i="33" s="1"/>
  <c r="AE8" i="33" s="1"/>
  <c r="AG1" i="2"/>
  <c r="AF1" i="33" s="1"/>
  <c r="AF8" i="33" s="1"/>
  <c r="AH1" i="2"/>
  <c r="AG1" i="33" s="1"/>
  <c r="AG8" i="33" s="1"/>
  <c r="AI1" i="2"/>
  <c r="AH1" i="33" s="1"/>
  <c r="AH8" i="33" s="1"/>
  <c r="AJ1" i="2"/>
  <c r="AI1" i="33" s="1"/>
  <c r="AI8" i="33" s="1"/>
  <c r="AK1" i="2"/>
  <c r="AJ1" i="33" s="1"/>
  <c r="AJ8" i="33" s="1"/>
  <c r="AL1" i="2"/>
  <c r="AK1" i="33" s="1"/>
  <c r="AK8" i="33" s="1"/>
  <c r="AM1" i="2"/>
  <c r="AL1" i="33" s="1"/>
  <c r="AL8" i="33" s="1"/>
  <c r="AN1" i="2"/>
  <c r="AM1" i="33" s="1"/>
  <c r="AM8" i="33" s="1"/>
  <c r="AO1" i="2"/>
  <c r="AN1" i="33" s="1"/>
  <c r="AN8" i="33" s="1"/>
  <c r="AP1" i="2"/>
  <c r="AO1" i="33" s="1"/>
  <c r="AO8" i="33" s="1"/>
  <c r="AQ1" i="2"/>
  <c r="AP1" i="33" s="1"/>
  <c r="AP8" i="33" s="1"/>
  <c r="AR1" i="2"/>
  <c r="AQ1" i="33" s="1"/>
  <c r="AQ8" i="33" s="1"/>
  <c r="AS1" i="2"/>
  <c r="AR1" i="33" s="1"/>
  <c r="AR8" i="33" s="1"/>
  <c r="AT1" i="2"/>
  <c r="AS1" i="33" s="1"/>
  <c r="AS8" i="33" s="1"/>
  <c r="AU1" i="2"/>
  <c r="AT1" i="33" s="1"/>
  <c r="AT8" i="33" s="1"/>
  <c r="AV1" i="2"/>
  <c r="AU1" i="33" s="1"/>
  <c r="AU8" i="33" s="1"/>
  <c r="AW1" i="2"/>
  <c r="AV1" i="33" s="1"/>
  <c r="AV8" i="33" s="1"/>
  <c r="AX1" i="2"/>
  <c r="AW1" i="33" s="1"/>
  <c r="AW8" i="33" s="1"/>
  <c r="AY1" i="2"/>
  <c r="AX1" i="33" s="1"/>
  <c r="AX8" i="33" s="1"/>
  <c r="AZ1" i="2"/>
  <c r="AY1" i="33" s="1"/>
  <c r="AY8" i="33" s="1"/>
  <c r="BA1" i="2"/>
  <c r="AZ1" i="33" s="1"/>
  <c r="AZ8" i="33" s="1"/>
  <c r="BB1" i="2"/>
  <c r="BA1" i="33" s="1"/>
  <c r="BA8" i="33" s="1"/>
  <c r="BC1" i="2"/>
  <c r="BB1" i="33" s="1"/>
  <c r="BB8" i="33" s="1"/>
  <c r="BD1" i="2"/>
  <c r="BC1" i="33" s="1"/>
  <c r="BC8" i="33" s="1"/>
  <c r="BE1" i="2"/>
  <c r="BD1" i="33" s="1"/>
  <c r="BD8" i="33" s="1"/>
  <c r="BF1" i="2"/>
  <c r="BE1" i="33" s="1"/>
  <c r="BE8" i="33" s="1"/>
  <c r="BG1" i="2"/>
  <c r="BF1" i="33" s="1"/>
  <c r="BF8" i="33" s="1"/>
  <c r="BH1" i="2"/>
  <c r="BG1" i="33" s="1"/>
  <c r="BG8" i="33" s="1"/>
  <c r="BI1" i="2"/>
  <c r="BH1" i="33" s="1"/>
  <c r="BH8" i="33" s="1"/>
  <c r="BJ1" i="2"/>
  <c r="BI1" i="33" s="1"/>
  <c r="BI8" i="33" s="1"/>
  <c r="BK1" i="2"/>
  <c r="BJ1" i="33" s="1"/>
  <c r="BJ8" i="33" s="1"/>
  <c r="BL1" i="2"/>
  <c r="BK1" i="33" s="1"/>
  <c r="BK8" i="33" s="1"/>
  <c r="BM1" i="2"/>
  <c r="BL1" i="33" s="1"/>
  <c r="BL8" i="33" s="1"/>
  <c r="BN1" i="2"/>
  <c r="BM1" i="33" s="1"/>
  <c r="BM8" i="33" s="1"/>
  <c r="BO1" i="2"/>
  <c r="BN1" i="33" s="1"/>
  <c r="BN8" i="33" s="1"/>
  <c r="BP1" i="2"/>
  <c r="BO1" i="33" s="1"/>
  <c r="BO8" i="33" s="1"/>
  <c r="BQ1" i="2"/>
  <c r="BP1" i="33" s="1"/>
  <c r="BP8" i="33" s="1"/>
  <c r="BR1" i="2"/>
  <c r="BQ1" i="33" s="1"/>
  <c r="BQ8" i="33" s="1"/>
  <c r="BS1" i="2"/>
  <c r="BR1" i="33" s="1"/>
  <c r="BR8" i="33" s="1"/>
  <c r="BT1" i="2"/>
  <c r="BS1" i="33" s="1"/>
  <c r="BS8" i="33" s="1"/>
  <c r="BU1" i="2"/>
  <c r="BT1" i="33" s="1"/>
  <c r="BT8" i="33" s="1"/>
  <c r="BV1" i="2"/>
  <c r="BU1" i="33" s="1"/>
  <c r="BU8" i="33" s="1"/>
  <c r="BW1" i="2"/>
  <c r="BV1" i="33" s="1"/>
  <c r="BV8" i="33" s="1"/>
  <c r="BX1" i="2"/>
  <c r="BW1" i="33" s="1"/>
  <c r="BW8" i="33" s="1"/>
  <c r="BY1" i="2"/>
  <c r="BX1" i="33" s="1"/>
  <c r="BX8" i="33" s="1"/>
  <c r="BZ1" i="2"/>
  <c r="BY1" i="33" s="1"/>
  <c r="BY8" i="33" s="1"/>
  <c r="CA1" i="2"/>
  <c r="BZ1" i="33" s="1"/>
  <c r="BZ8" i="33" s="1"/>
  <c r="CB1" i="2"/>
  <c r="CA1" i="33" s="1"/>
  <c r="CA8" i="33" s="1"/>
  <c r="CC1" i="2"/>
  <c r="CB1" i="33" s="1"/>
  <c r="CB8" i="33" s="1"/>
  <c r="CD1" i="2"/>
  <c r="CC1" i="33" s="1"/>
  <c r="CC8" i="33" s="1"/>
  <c r="CE1" i="2"/>
  <c r="CD1" i="33" s="1"/>
  <c r="CD8" i="33" s="1"/>
  <c r="CF1" i="2"/>
  <c r="CE1" i="33" s="1"/>
  <c r="CE8" i="33" s="1"/>
  <c r="CG1" i="2"/>
  <c r="CF1" i="33" s="1"/>
  <c r="CF8" i="33" s="1"/>
  <c r="CH1" i="2"/>
  <c r="CG1" i="33" s="1"/>
  <c r="CG8" i="33" s="1"/>
  <c r="CI1" i="2"/>
  <c r="CH1" i="33" s="1"/>
  <c r="CH8" i="33" s="1"/>
  <c r="CJ1" i="2"/>
  <c r="CI1" i="33" s="1"/>
  <c r="CI8" i="33" s="1"/>
  <c r="CK1" i="2"/>
  <c r="CJ1" i="33" s="1"/>
  <c r="CJ8" i="33" s="1"/>
  <c r="CL1" i="2"/>
  <c r="CK1" i="33" s="1"/>
  <c r="CK8" i="33" s="1"/>
  <c r="CM1" i="2"/>
  <c r="E2" i="2"/>
  <c r="F2" i="2"/>
  <c r="G2" i="2"/>
  <c r="H2" i="2"/>
  <c r="I2" i="2"/>
  <c r="J2" i="2"/>
  <c r="K2" i="2"/>
  <c r="L2" i="2"/>
  <c r="M2" i="2"/>
  <c r="N2" i="2"/>
  <c r="O2" i="2"/>
  <c r="P2" i="2"/>
  <c r="Q2" i="2"/>
  <c r="R2" i="2"/>
  <c r="S2" i="2"/>
  <c r="T2" i="2"/>
  <c r="U2" i="2"/>
  <c r="V2" i="2"/>
  <c r="W2" i="2"/>
  <c r="X2" i="2"/>
  <c r="Y2" i="2"/>
  <c r="Z2" i="2"/>
  <c r="AA2" i="2"/>
  <c r="AB2" i="2"/>
  <c r="AC2" i="2"/>
  <c r="AD2" i="2"/>
  <c r="AE2" i="2"/>
  <c r="AF2" i="2"/>
  <c r="AG2" i="2"/>
  <c r="AH2" i="2"/>
  <c r="AI2" i="2"/>
  <c r="AJ2" i="2"/>
  <c r="AK2" i="2"/>
  <c r="AL2" i="2"/>
  <c r="AM2" i="2"/>
  <c r="AN2" i="2"/>
  <c r="AO2" i="2"/>
  <c r="AP2" i="2"/>
  <c r="AQ2" i="2"/>
  <c r="AR2" i="2"/>
  <c r="AS2" i="2"/>
  <c r="AT2" i="2"/>
  <c r="AU2" i="2"/>
  <c r="AV2" i="2"/>
  <c r="AW2" i="2"/>
  <c r="AX2" i="2"/>
  <c r="AY2" i="2"/>
  <c r="AZ2" i="2"/>
  <c r="BA2" i="2"/>
  <c r="BB2" i="2"/>
  <c r="BC2" i="2"/>
  <c r="BD2" i="2"/>
  <c r="BE2" i="2"/>
  <c r="BF2" i="2"/>
  <c r="BG2" i="2"/>
  <c r="BH2" i="2"/>
  <c r="BI2" i="2"/>
  <c r="BJ2" i="2"/>
  <c r="BK2" i="2"/>
  <c r="BL2" i="2"/>
  <c r="BM2" i="2"/>
  <c r="BN2" i="2"/>
  <c r="BO2" i="2"/>
  <c r="BP2" i="2"/>
  <c r="BQ2" i="2"/>
  <c r="BR2" i="2"/>
  <c r="BS2" i="2"/>
  <c r="BT2" i="2"/>
  <c r="BU2" i="2"/>
  <c r="BV2" i="2"/>
  <c r="BW2" i="2"/>
  <c r="BX2" i="2"/>
  <c r="BY2" i="2"/>
  <c r="BZ2" i="2"/>
  <c r="CA2" i="2"/>
  <c r="CB2" i="2"/>
  <c r="CC2" i="2"/>
  <c r="CD2" i="2"/>
  <c r="CE2" i="2"/>
  <c r="CF2" i="2"/>
  <c r="CG2" i="2"/>
  <c r="CH2" i="2"/>
  <c r="CI2" i="2"/>
  <c r="CJ2" i="2"/>
  <c r="CK2" i="2"/>
  <c r="CL2" i="2"/>
  <c r="CM2" i="2"/>
  <c r="E3" i="2"/>
  <c r="F3" i="2"/>
  <c r="G3" i="2"/>
  <c r="H3" i="2"/>
  <c r="I3" i="2"/>
  <c r="J3" i="2"/>
  <c r="K3" i="2"/>
  <c r="L3" i="2"/>
  <c r="M3" i="2"/>
  <c r="N3" i="2"/>
  <c r="O3" i="2"/>
  <c r="P3" i="2"/>
  <c r="Q3" i="2"/>
  <c r="R3" i="2"/>
  <c r="S3" i="2"/>
  <c r="T3" i="2"/>
  <c r="U3" i="2"/>
  <c r="V3" i="2"/>
  <c r="W3" i="2"/>
  <c r="X3" i="2"/>
  <c r="Y3" i="2"/>
  <c r="Z3" i="2"/>
  <c r="AA3" i="2"/>
  <c r="AB3" i="2"/>
  <c r="AC3" i="2"/>
  <c r="AD3" i="2"/>
  <c r="AE3" i="2"/>
  <c r="AF3" i="2"/>
  <c r="AG3" i="2"/>
  <c r="AH3" i="2"/>
  <c r="AI3" i="2"/>
  <c r="AJ3" i="2"/>
  <c r="AK3" i="2"/>
  <c r="AL3" i="2"/>
  <c r="AM3" i="2"/>
  <c r="AN3" i="2"/>
  <c r="AO3" i="2"/>
  <c r="AP3" i="2"/>
  <c r="AQ3" i="2"/>
  <c r="AR3" i="2"/>
  <c r="AS3" i="2"/>
  <c r="AT3" i="2"/>
  <c r="AU3" i="2"/>
  <c r="AV3" i="2"/>
  <c r="AW3" i="2"/>
  <c r="AX3" i="2"/>
  <c r="AY3" i="2"/>
  <c r="AZ3" i="2"/>
  <c r="BA3" i="2"/>
  <c r="BB3" i="2"/>
  <c r="BC3" i="2"/>
  <c r="BD3" i="2"/>
  <c r="BE3" i="2"/>
  <c r="BF3" i="2"/>
  <c r="BG3" i="2"/>
  <c r="BH3" i="2"/>
  <c r="BI3" i="2"/>
  <c r="BJ3" i="2"/>
  <c r="BK3" i="2"/>
  <c r="BL3" i="2"/>
  <c r="BM3" i="2"/>
  <c r="BN3" i="2"/>
  <c r="BO3" i="2"/>
  <c r="BP3" i="2"/>
  <c r="BQ3" i="2"/>
  <c r="BR3" i="2"/>
  <c r="BS3" i="2"/>
  <c r="BT3" i="2"/>
  <c r="BU3" i="2"/>
  <c r="BV3" i="2"/>
  <c r="BW3" i="2"/>
  <c r="BX3" i="2"/>
  <c r="BY3" i="2"/>
  <c r="BZ3" i="2"/>
  <c r="CA3" i="2"/>
  <c r="CB3" i="2"/>
  <c r="CC3" i="2"/>
  <c r="CD3" i="2"/>
  <c r="CE3" i="2"/>
  <c r="CF3" i="2"/>
  <c r="CG3" i="2"/>
  <c r="CH3" i="2"/>
  <c r="CI3" i="2"/>
  <c r="CJ3" i="2"/>
  <c r="CK3" i="2"/>
  <c r="CL3" i="2"/>
  <c r="CM3" i="2"/>
  <c r="E4" i="2"/>
  <c r="F4" i="2"/>
  <c r="G4" i="2"/>
  <c r="H4" i="2"/>
  <c r="I4" i="2"/>
  <c r="J4" i="2"/>
  <c r="K4" i="2"/>
  <c r="L4" i="2"/>
  <c r="M4" i="2"/>
  <c r="N4" i="2"/>
  <c r="O4" i="2"/>
  <c r="P4" i="2"/>
  <c r="Q4" i="2"/>
  <c r="R4" i="2"/>
  <c r="S4" i="2"/>
  <c r="T4" i="2"/>
  <c r="U4" i="2"/>
  <c r="V4" i="2"/>
  <c r="W4" i="2"/>
  <c r="X4" i="2"/>
  <c r="Y4" i="2"/>
  <c r="Z4" i="2"/>
  <c r="AA4" i="2"/>
  <c r="AB4" i="2"/>
  <c r="AC4" i="2"/>
  <c r="AD4" i="2"/>
  <c r="AE4" i="2"/>
  <c r="AF4" i="2"/>
  <c r="AG4" i="2"/>
  <c r="AH4" i="2"/>
  <c r="AI4" i="2"/>
  <c r="AJ4" i="2"/>
  <c r="AK4" i="2"/>
  <c r="AL4" i="2"/>
  <c r="AM4" i="2"/>
  <c r="AN4" i="2"/>
  <c r="AO4" i="2"/>
  <c r="AP4" i="2"/>
  <c r="AQ4" i="2"/>
  <c r="AR4" i="2"/>
  <c r="AS4" i="2"/>
  <c r="AT4" i="2"/>
  <c r="AU4" i="2"/>
  <c r="AV4" i="2"/>
  <c r="AW4" i="2"/>
  <c r="AX4" i="2"/>
  <c r="AY4" i="2"/>
  <c r="AZ4" i="2"/>
  <c r="BA4" i="2"/>
  <c r="BB4" i="2"/>
  <c r="BC4" i="2"/>
  <c r="BD4" i="2"/>
  <c r="BE4" i="2"/>
  <c r="BF4" i="2"/>
  <c r="BG4" i="2"/>
  <c r="BH4" i="2"/>
  <c r="BI4" i="2"/>
  <c r="BJ4" i="2"/>
  <c r="BK4" i="2"/>
  <c r="BL4" i="2"/>
  <c r="BM4" i="2"/>
  <c r="BN4" i="2"/>
  <c r="BO4" i="2"/>
  <c r="BP4" i="2"/>
  <c r="BQ4" i="2"/>
  <c r="BR4" i="2"/>
  <c r="BS4" i="2"/>
  <c r="BT4" i="2"/>
  <c r="BU4" i="2"/>
  <c r="BV4" i="2"/>
  <c r="BW4" i="2"/>
  <c r="BX4" i="2"/>
  <c r="BY4" i="2"/>
  <c r="BZ4" i="2"/>
  <c r="CA4" i="2"/>
  <c r="CB4" i="2"/>
  <c r="CC4" i="2"/>
  <c r="CD4" i="2"/>
  <c r="CE4" i="2"/>
  <c r="CF4" i="2"/>
  <c r="CG4" i="2"/>
  <c r="CH4" i="2"/>
  <c r="CI4" i="2"/>
  <c r="CJ4" i="2"/>
  <c r="CK4" i="2"/>
  <c r="CL4" i="2"/>
  <c r="CM4" i="2"/>
  <c r="E5" i="2"/>
  <c r="F5" i="2"/>
  <c r="G5" i="2"/>
  <c r="H5" i="2"/>
  <c r="I5" i="2"/>
  <c r="J5" i="2"/>
  <c r="K5" i="2"/>
  <c r="L5" i="2"/>
  <c r="M5" i="2"/>
  <c r="N5" i="2"/>
  <c r="O5" i="2"/>
  <c r="P5" i="2"/>
  <c r="Q5" i="2"/>
  <c r="R5" i="2"/>
  <c r="S5" i="2"/>
  <c r="T5" i="2"/>
  <c r="U5" i="2"/>
  <c r="V5" i="2"/>
  <c r="W5" i="2"/>
  <c r="X5" i="2"/>
  <c r="Y5" i="2"/>
  <c r="Z5" i="2"/>
  <c r="AA5" i="2"/>
  <c r="AB5" i="2"/>
  <c r="AC5" i="2"/>
  <c r="AD5" i="2"/>
  <c r="AE5" i="2"/>
  <c r="AF5" i="2"/>
  <c r="AG5" i="2"/>
  <c r="AH5" i="2"/>
  <c r="AI5" i="2"/>
  <c r="AJ5" i="2"/>
  <c r="AK5" i="2"/>
  <c r="AL5" i="2"/>
  <c r="AM5" i="2"/>
  <c r="AN5" i="2"/>
  <c r="AO5" i="2"/>
  <c r="AP5" i="2"/>
  <c r="AQ5" i="2"/>
  <c r="AR5" i="2"/>
  <c r="AS5" i="2"/>
  <c r="AT5" i="2"/>
  <c r="AU5" i="2"/>
  <c r="AV5" i="2"/>
  <c r="AW5" i="2"/>
  <c r="AX5" i="2"/>
  <c r="AY5" i="2"/>
  <c r="AZ5" i="2"/>
  <c r="BA5" i="2"/>
  <c r="BB5" i="2"/>
  <c r="BC5" i="2"/>
  <c r="BD5" i="2"/>
  <c r="BE5" i="2"/>
  <c r="BF5" i="2"/>
  <c r="BG5" i="2"/>
  <c r="BH5" i="2"/>
  <c r="BI5" i="2"/>
  <c r="BJ5" i="2"/>
  <c r="BK5" i="2"/>
  <c r="BL5" i="2"/>
  <c r="BM5" i="2"/>
  <c r="BN5" i="2"/>
  <c r="BO5" i="2"/>
  <c r="BP5" i="2"/>
  <c r="BQ5" i="2"/>
  <c r="BR5" i="2"/>
  <c r="BS5" i="2"/>
  <c r="BT5" i="2"/>
  <c r="BU5" i="2"/>
  <c r="BV5" i="2"/>
  <c r="BW5" i="2"/>
  <c r="BX5" i="2"/>
  <c r="BY5" i="2"/>
  <c r="BZ5" i="2"/>
  <c r="CA5" i="2"/>
  <c r="CB5" i="2"/>
  <c r="CC5" i="2"/>
  <c r="CD5" i="2"/>
  <c r="CE5" i="2"/>
  <c r="CF5" i="2"/>
  <c r="CG5" i="2"/>
  <c r="CH5" i="2"/>
  <c r="CI5" i="2"/>
  <c r="CJ5" i="2"/>
  <c r="CK5" i="2"/>
  <c r="CL5" i="2"/>
  <c r="CM5" i="2"/>
  <c r="E6" i="2"/>
  <c r="F6" i="2"/>
  <c r="E4" i="8" s="1"/>
  <c r="G6" i="2"/>
  <c r="F4" i="8" s="1"/>
  <c r="H6" i="2"/>
  <c r="G4" i="8" s="1"/>
  <c r="I6" i="2"/>
  <c r="H4" i="8" s="1"/>
  <c r="J6" i="2"/>
  <c r="I4" i="8" s="1"/>
  <c r="K6" i="2"/>
  <c r="J4" i="8" s="1"/>
  <c r="L6" i="2"/>
  <c r="M6" i="2"/>
  <c r="L4" i="8" s="1"/>
  <c r="N6" i="2"/>
  <c r="M4" i="8" s="1"/>
  <c r="O6" i="2"/>
  <c r="P6" i="2"/>
  <c r="O4" i="8" s="1"/>
  <c r="Q6" i="2"/>
  <c r="R6" i="2"/>
  <c r="Q4" i="8" s="1"/>
  <c r="S6" i="2"/>
  <c r="T6" i="2"/>
  <c r="S4" i="8" s="1"/>
  <c r="T4" i="29" s="1"/>
  <c r="U6" i="2"/>
  <c r="V6" i="2"/>
  <c r="U4" i="8" s="1"/>
  <c r="W6" i="2"/>
  <c r="V4" i="8" s="1"/>
  <c r="X6" i="2"/>
  <c r="Y6" i="2"/>
  <c r="X4" i="8" s="1"/>
  <c r="Z6" i="2"/>
  <c r="Y4" i="8" s="1"/>
  <c r="AA6" i="2"/>
  <c r="Z4" i="8" s="1"/>
  <c r="AB6" i="2"/>
  <c r="AC6" i="2"/>
  <c r="AD6" i="2"/>
  <c r="AC4" i="8" s="1"/>
  <c r="AE6" i="2"/>
  <c r="AD4" i="8" s="1"/>
  <c r="AF6" i="2"/>
  <c r="AE4" i="8" s="1"/>
  <c r="AG6" i="2"/>
  <c r="AF4" i="8" s="1"/>
  <c r="AH6" i="2"/>
  <c r="AG4" i="8" s="1"/>
  <c r="AI6" i="2"/>
  <c r="AH4" i="8" s="1"/>
  <c r="AJ6" i="2"/>
  <c r="AK6" i="2"/>
  <c r="AJ4" i="8" s="1"/>
  <c r="AL6" i="2"/>
  <c r="AK4" i="8" s="1"/>
  <c r="AM6" i="2"/>
  <c r="AL4" i="8" s="1"/>
  <c r="AN6" i="2"/>
  <c r="AM4" i="8" s="1"/>
  <c r="AO6" i="2"/>
  <c r="AP6" i="2"/>
  <c r="AO4" i="8" s="1"/>
  <c r="AQ6" i="2"/>
  <c r="AP4" i="8" s="1"/>
  <c r="AR6" i="2"/>
  <c r="AS6" i="2"/>
  <c r="AR4" i="8" s="1"/>
  <c r="AT6" i="2"/>
  <c r="AS4" i="8" s="1"/>
  <c r="AU6" i="2"/>
  <c r="AT4" i="8" s="1"/>
  <c r="AV6" i="2"/>
  <c r="AU4" i="8" s="1"/>
  <c r="AW6" i="2"/>
  <c r="AX6" i="2"/>
  <c r="AW4" i="8" s="1"/>
  <c r="AY6" i="2"/>
  <c r="AX4" i="8" s="1"/>
  <c r="AZ6" i="2"/>
  <c r="BA6" i="2"/>
  <c r="BB6" i="2"/>
  <c r="BA4" i="8" s="1"/>
  <c r="BC6" i="2"/>
  <c r="BB4" i="8" s="1"/>
  <c r="BD6" i="2"/>
  <c r="BC4" i="8" s="1"/>
  <c r="BE6" i="2"/>
  <c r="BD4" i="8" s="1"/>
  <c r="BF6" i="2"/>
  <c r="BE4" i="8" s="1"/>
  <c r="BG6" i="2"/>
  <c r="BF4" i="8" s="1"/>
  <c r="BH6" i="2"/>
  <c r="BI6" i="2"/>
  <c r="BJ6" i="2"/>
  <c r="BI4" i="8" s="1"/>
  <c r="BK6" i="2"/>
  <c r="BJ4" i="8" s="1"/>
  <c r="BL6" i="2"/>
  <c r="BK4" i="8" s="1"/>
  <c r="BM6" i="2"/>
  <c r="BL4" i="8" s="1"/>
  <c r="BN6" i="2"/>
  <c r="BM4" i="8" s="1"/>
  <c r="BO6" i="2"/>
  <c r="BN4" i="8" s="1"/>
  <c r="BP6" i="2"/>
  <c r="BQ6" i="2"/>
  <c r="BP4" i="8" s="1"/>
  <c r="BR6" i="2"/>
  <c r="BQ4" i="8" s="1"/>
  <c r="BS6" i="2"/>
  <c r="BR4" i="8" s="1"/>
  <c r="BT6" i="2"/>
  <c r="BS4" i="8" s="1"/>
  <c r="BU6" i="2"/>
  <c r="BV6" i="2"/>
  <c r="BU4" i="8" s="1"/>
  <c r="BW6" i="2"/>
  <c r="BV4" i="8" s="1"/>
  <c r="BX6" i="2"/>
  <c r="BY6" i="2"/>
  <c r="BX4" i="8" s="1"/>
  <c r="BZ6" i="2"/>
  <c r="BY4" i="8" s="1"/>
  <c r="CA6" i="2"/>
  <c r="BZ4" i="8" s="1"/>
  <c r="CB6" i="2"/>
  <c r="CA4" i="8" s="1"/>
  <c r="CC6" i="2"/>
  <c r="CD6" i="2"/>
  <c r="CC4" i="8" s="1"/>
  <c r="CE6" i="2"/>
  <c r="CD4" i="8" s="1"/>
  <c r="CF6" i="2"/>
  <c r="CG6" i="2"/>
  <c r="CH6" i="2"/>
  <c r="CG4" i="8" s="1"/>
  <c r="CI6" i="2"/>
  <c r="CH4" i="8" s="1"/>
  <c r="CJ6" i="2"/>
  <c r="CI4" i="8" s="1"/>
  <c r="CK6" i="2"/>
  <c r="CJ4" i="8" s="1"/>
  <c r="CL6" i="2"/>
  <c r="CK4" i="8" s="1"/>
  <c r="CM6" i="2"/>
  <c r="CL4" i="8" s="1"/>
  <c r="E7" i="2"/>
  <c r="F7" i="2"/>
  <c r="G7" i="2"/>
  <c r="H7" i="2"/>
  <c r="I7" i="2"/>
  <c r="J7" i="2"/>
  <c r="K7" i="2"/>
  <c r="L7" i="2"/>
  <c r="M7" i="2"/>
  <c r="N7" i="2"/>
  <c r="O7" i="2"/>
  <c r="P7" i="2"/>
  <c r="Q7" i="2"/>
  <c r="R7" i="2"/>
  <c r="S7" i="2"/>
  <c r="T7" i="2"/>
  <c r="U7" i="2"/>
  <c r="V7" i="2"/>
  <c r="W7" i="2"/>
  <c r="X7" i="2"/>
  <c r="Y7" i="2"/>
  <c r="Z7" i="2"/>
  <c r="AA7" i="2"/>
  <c r="AB7" i="2"/>
  <c r="AC7" i="2"/>
  <c r="AD7" i="2"/>
  <c r="AE7" i="2"/>
  <c r="AF7" i="2"/>
  <c r="AG7" i="2"/>
  <c r="AH7" i="2"/>
  <c r="AI7" i="2"/>
  <c r="AJ7" i="2"/>
  <c r="AK7" i="2"/>
  <c r="AL7" i="2"/>
  <c r="AM7" i="2"/>
  <c r="AN7" i="2"/>
  <c r="AO7" i="2"/>
  <c r="AP7" i="2"/>
  <c r="AQ7" i="2"/>
  <c r="AR7" i="2"/>
  <c r="AS7" i="2"/>
  <c r="AT7" i="2"/>
  <c r="AU7" i="2"/>
  <c r="AV7" i="2"/>
  <c r="AW7" i="2"/>
  <c r="AX7" i="2"/>
  <c r="AY7" i="2"/>
  <c r="AZ7" i="2"/>
  <c r="BA7" i="2"/>
  <c r="BB7" i="2"/>
  <c r="BC7" i="2"/>
  <c r="BD7" i="2"/>
  <c r="BE7" i="2"/>
  <c r="BF7" i="2"/>
  <c r="BG7" i="2"/>
  <c r="BH7" i="2"/>
  <c r="BI7" i="2"/>
  <c r="BJ7" i="2"/>
  <c r="BK7" i="2"/>
  <c r="BL7" i="2"/>
  <c r="BM7" i="2"/>
  <c r="BN7" i="2"/>
  <c r="BO7" i="2"/>
  <c r="BP7" i="2"/>
  <c r="BQ7" i="2"/>
  <c r="BR7" i="2"/>
  <c r="BS7" i="2"/>
  <c r="BT7" i="2"/>
  <c r="BU7" i="2"/>
  <c r="BV7" i="2"/>
  <c r="BW7" i="2"/>
  <c r="BX7" i="2"/>
  <c r="BY7" i="2"/>
  <c r="BZ7" i="2"/>
  <c r="CA7" i="2"/>
  <c r="CB7" i="2"/>
  <c r="CC7" i="2"/>
  <c r="CD7" i="2"/>
  <c r="CE7" i="2"/>
  <c r="CF7" i="2"/>
  <c r="CG7" i="2"/>
  <c r="CH7" i="2"/>
  <c r="CI7" i="2"/>
  <c r="CJ7" i="2"/>
  <c r="CK7" i="2"/>
  <c r="CL7" i="2"/>
  <c r="CM7" i="2"/>
  <c r="E8" i="2"/>
  <c r="F8" i="2"/>
  <c r="G8" i="2"/>
  <c r="H8" i="2"/>
  <c r="I8" i="2"/>
  <c r="J8" i="2"/>
  <c r="K8" i="2"/>
  <c r="L8" i="2"/>
  <c r="M8" i="2"/>
  <c r="N8" i="2"/>
  <c r="O8" i="2"/>
  <c r="P8" i="2"/>
  <c r="Q8" i="2"/>
  <c r="R8" i="2"/>
  <c r="S8" i="2"/>
  <c r="T8" i="2"/>
  <c r="U8" i="2"/>
  <c r="V8" i="2"/>
  <c r="W8" i="2"/>
  <c r="X8" i="2"/>
  <c r="Y8" i="2"/>
  <c r="Z8" i="2"/>
  <c r="AA8" i="2"/>
  <c r="AB8" i="2"/>
  <c r="AC8" i="2"/>
  <c r="AD8" i="2"/>
  <c r="AE8" i="2"/>
  <c r="AF8" i="2"/>
  <c r="AG8" i="2"/>
  <c r="AH8" i="2"/>
  <c r="AI8" i="2"/>
  <c r="AJ8" i="2"/>
  <c r="AK8" i="2"/>
  <c r="AL8" i="2"/>
  <c r="AM8" i="2"/>
  <c r="AN8" i="2"/>
  <c r="AO8" i="2"/>
  <c r="AP8" i="2"/>
  <c r="AQ8" i="2"/>
  <c r="AR8" i="2"/>
  <c r="AS8" i="2"/>
  <c r="AT8" i="2"/>
  <c r="AU8" i="2"/>
  <c r="AV8" i="2"/>
  <c r="AW8" i="2"/>
  <c r="AX8" i="2"/>
  <c r="AY8" i="2"/>
  <c r="AZ8" i="2"/>
  <c r="BA8" i="2"/>
  <c r="BB8" i="2"/>
  <c r="BC8" i="2"/>
  <c r="BD8" i="2"/>
  <c r="BE8" i="2"/>
  <c r="BF8" i="2"/>
  <c r="BG8" i="2"/>
  <c r="BH8" i="2"/>
  <c r="BI8" i="2"/>
  <c r="BJ8" i="2"/>
  <c r="BK8" i="2"/>
  <c r="BL8" i="2"/>
  <c r="BM8" i="2"/>
  <c r="BN8" i="2"/>
  <c r="BO8" i="2"/>
  <c r="BP8" i="2"/>
  <c r="BQ8" i="2"/>
  <c r="BR8" i="2"/>
  <c r="BS8" i="2"/>
  <c r="BT8" i="2"/>
  <c r="BU8" i="2"/>
  <c r="BV8" i="2"/>
  <c r="BW8" i="2"/>
  <c r="BX8" i="2"/>
  <c r="BY8" i="2"/>
  <c r="BZ8" i="2"/>
  <c r="CA8" i="2"/>
  <c r="CB8" i="2"/>
  <c r="CC8" i="2"/>
  <c r="CD8" i="2"/>
  <c r="CE8" i="2"/>
  <c r="CF8" i="2"/>
  <c r="CG8" i="2"/>
  <c r="CH8" i="2"/>
  <c r="CI8" i="2"/>
  <c r="CJ8" i="2"/>
  <c r="CK8" i="2"/>
  <c r="CL8" i="2"/>
  <c r="CM8" i="2"/>
  <c r="E9" i="2"/>
  <c r="D2" i="33" s="1"/>
  <c r="D3" i="33" s="1"/>
  <c r="F9" i="2"/>
  <c r="E2" i="33" s="1"/>
  <c r="E3" i="33" s="1"/>
  <c r="G9" i="2"/>
  <c r="F2" i="33" s="1"/>
  <c r="F3" i="33" s="1"/>
  <c r="H9" i="2"/>
  <c r="G2" i="33" s="1"/>
  <c r="G3" i="33" s="1"/>
  <c r="I9" i="2"/>
  <c r="H2" i="33" s="1"/>
  <c r="H3" i="33" s="1"/>
  <c r="J9" i="2"/>
  <c r="I2" i="33" s="1"/>
  <c r="I3" i="33" s="1"/>
  <c r="K9" i="2"/>
  <c r="J2" i="33" s="1"/>
  <c r="J3" i="33" s="1"/>
  <c r="L9" i="2"/>
  <c r="K2" i="33" s="1"/>
  <c r="K3" i="33" s="1"/>
  <c r="M9" i="2"/>
  <c r="L2" i="33" s="1"/>
  <c r="L3" i="33" s="1"/>
  <c r="N9" i="2"/>
  <c r="M2" i="33" s="1"/>
  <c r="M3" i="33" s="1"/>
  <c r="O9" i="2"/>
  <c r="N2" i="33" s="1"/>
  <c r="N3" i="33" s="1"/>
  <c r="P9" i="2"/>
  <c r="O2" i="33" s="1"/>
  <c r="O3" i="33" s="1"/>
  <c r="Q9" i="2"/>
  <c r="P2" i="33" s="1"/>
  <c r="P3" i="33" s="1"/>
  <c r="R9" i="2"/>
  <c r="Q2" i="33" s="1"/>
  <c r="Q3" i="33" s="1"/>
  <c r="S9" i="2"/>
  <c r="R2" i="33" s="1"/>
  <c r="R3" i="33" s="1"/>
  <c r="T9" i="2"/>
  <c r="S2" i="33" s="1"/>
  <c r="S3" i="33" s="1"/>
  <c r="U9" i="2"/>
  <c r="T2" i="33" s="1"/>
  <c r="T3" i="33" s="1"/>
  <c r="V9" i="2"/>
  <c r="U2" i="33" s="1"/>
  <c r="U3" i="33" s="1"/>
  <c r="W9" i="2"/>
  <c r="V2" i="33" s="1"/>
  <c r="V3" i="33" s="1"/>
  <c r="X9" i="2"/>
  <c r="W2" i="33" s="1"/>
  <c r="W3" i="33" s="1"/>
  <c r="Y9" i="2"/>
  <c r="X2" i="33" s="1"/>
  <c r="X3" i="33" s="1"/>
  <c r="Z9" i="2"/>
  <c r="Y2" i="33" s="1"/>
  <c r="Y3" i="33" s="1"/>
  <c r="AA9" i="2"/>
  <c r="Z2" i="33" s="1"/>
  <c r="Z3" i="33" s="1"/>
  <c r="AB9" i="2"/>
  <c r="AA2" i="33" s="1"/>
  <c r="AA3" i="33" s="1"/>
  <c r="AC9" i="2"/>
  <c r="AB2" i="33" s="1"/>
  <c r="AB3" i="33" s="1"/>
  <c r="AD9" i="2"/>
  <c r="AC2" i="33" s="1"/>
  <c r="AC3" i="33" s="1"/>
  <c r="AE9" i="2"/>
  <c r="AD2" i="33" s="1"/>
  <c r="AD3" i="33" s="1"/>
  <c r="AF9" i="2"/>
  <c r="AE2" i="33" s="1"/>
  <c r="AE3" i="33" s="1"/>
  <c r="AG9" i="2"/>
  <c r="AF2" i="33" s="1"/>
  <c r="AF3" i="33" s="1"/>
  <c r="AH9" i="2"/>
  <c r="AG2" i="33" s="1"/>
  <c r="AG3" i="33" s="1"/>
  <c r="AI9" i="2"/>
  <c r="AH2" i="33" s="1"/>
  <c r="AH3" i="33" s="1"/>
  <c r="AJ9" i="2"/>
  <c r="AI2" i="33" s="1"/>
  <c r="AI3" i="33" s="1"/>
  <c r="AK9" i="2"/>
  <c r="AJ2" i="33" s="1"/>
  <c r="AJ3" i="33" s="1"/>
  <c r="AL9" i="2"/>
  <c r="AK2" i="33" s="1"/>
  <c r="AK3" i="33" s="1"/>
  <c r="AM9" i="2"/>
  <c r="AL2" i="33" s="1"/>
  <c r="AL3" i="33" s="1"/>
  <c r="AN9" i="2"/>
  <c r="AM2" i="33" s="1"/>
  <c r="AM3" i="33" s="1"/>
  <c r="AO9" i="2"/>
  <c r="AN2" i="33" s="1"/>
  <c r="AN3" i="33" s="1"/>
  <c r="AP9" i="2"/>
  <c r="AO2" i="33" s="1"/>
  <c r="AO3" i="33" s="1"/>
  <c r="AQ9" i="2"/>
  <c r="AP2" i="33" s="1"/>
  <c r="AP3" i="33" s="1"/>
  <c r="AR9" i="2"/>
  <c r="AQ2" i="33" s="1"/>
  <c r="AQ3" i="33" s="1"/>
  <c r="AS9" i="2"/>
  <c r="AR2" i="33" s="1"/>
  <c r="AR3" i="33" s="1"/>
  <c r="AT9" i="2"/>
  <c r="AS2" i="33" s="1"/>
  <c r="AS3" i="33" s="1"/>
  <c r="AU9" i="2"/>
  <c r="AT2" i="33" s="1"/>
  <c r="AT3" i="33" s="1"/>
  <c r="AV9" i="2"/>
  <c r="AU2" i="33" s="1"/>
  <c r="AU3" i="33" s="1"/>
  <c r="AW9" i="2"/>
  <c r="AV2" i="33" s="1"/>
  <c r="AV3" i="33" s="1"/>
  <c r="AX9" i="2"/>
  <c r="AW2" i="33" s="1"/>
  <c r="AW3" i="33" s="1"/>
  <c r="AY9" i="2"/>
  <c r="AX2" i="33" s="1"/>
  <c r="AX3" i="33" s="1"/>
  <c r="AZ9" i="2"/>
  <c r="AY2" i="33" s="1"/>
  <c r="AY3" i="33" s="1"/>
  <c r="BA9" i="2"/>
  <c r="AZ2" i="33" s="1"/>
  <c r="AZ3" i="33" s="1"/>
  <c r="BB9" i="2"/>
  <c r="BC9" i="2"/>
  <c r="BB2" i="33" s="1"/>
  <c r="BB3" i="33" s="1"/>
  <c r="BD9" i="2"/>
  <c r="BE9" i="2"/>
  <c r="BF9" i="2"/>
  <c r="BG9" i="2"/>
  <c r="BF2" i="33" s="1"/>
  <c r="BF3" i="33" s="1"/>
  <c r="BH9" i="2"/>
  <c r="BG2" i="33" s="1"/>
  <c r="BG3" i="33" s="1"/>
  <c r="BI9" i="2"/>
  <c r="BJ9" i="2"/>
  <c r="BK9" i="2"/>
  <c r="BJ2" i="33" s="1"/>
  <c r="BJ3" i="33" s="1"/>
  <c r="BL9" i="2"/>
  <c r="BM9" i="2"/>
  <c r="BL2" i="33" s="1"/>
  <c r="BL3" i="33" s="1"/>
  <c r="BN9" i="2"/>
  <c r="BO9" i="2"/>
  <c r="BN2" i="33" s="1"/>
  <c r="BN3" i="33" s="1"/>
  <c r="BP9" i="2"/>
  <c r="BO2" i="33" s="1"/>
  <c r="BO3" i="33" s="1"/>
  <c r="BQ9" i="2"/>
  <c r="BR9" i="2"/>
  <c r="BS9" i="2"/>
  <c r="BR2" i="33" s="1"/>
  <c r="BR3" i="33" s="1"/>
  <c r="BT9" i="2"/>
  <c r="BU9" i="2"/>
  <c r="BT2" i="33" s="1"/>
  <c r="BT3" i="33" s="1"/>
  <c r="BV9" i="2"/>
  <c r="BW9" i="2"/>
  <c r="BV2" i="33" s="1"/>
  <c r="BV3" i="33" s="1"/>
  <c r="BX9" i="2"/>
  <c r="BW2" i="33" s="1"/>
  <c r="BW3" i="33" s="1"/>
  <c r="BY9" i="2"/>
  <c r="BX2" i="33" s="1"/>
  <c r="BX3" i="33" s="1"/>
  <c r="BZ9" i="2"/>
  <c r="CA9" i="2"/>
  <c r="BZ2" i="33" s="1"/>
  <c r="BZ3" i="33" s="1"/>
  <c r="CB9" i="2"/>
  <c r="CC9" i="2"/>
  <c r="CD9" i="2"/>
  <c r="CE9" i="2"/>
  <c r="CD2" i="33" s="1"/>
  <c r="CD3" i="33" s="1"/>
  <c r="CF9" i="2"/>
  <c r="CE2" i="33" s="1"/>
  <c r="CE3" i="33" s="1"/>
  <c r="CG9" i="2"/>
  <c r="CF2" i="33" s="1"/>
  <c r="CF3" i="33" s="1"/>
  <c r="CH9" i="2"/>
  <c r="CI9" i="2"/>
  <c r="CH2" i="33" s="1"/>
  <c r="CH3" i="33" s="1"/>
  <c r="CJ9" i="2"/>
  <c r="CK9" i="2"/>
  <c r="CL9" i="2"/>
  <c r="CM9" i="2"/>
  <c r="E10" i="2"/>
  <c r="F10" i="2"/>
  <c r="G10" i="2"/>
  <c r="H10" i="2"/>
  <c r="K10" i="2"/>
  <c r="L10" i="2"/>
  <c r="M10" i="2"/>
  <c r="N10" i="2"/>
  <c r="O10" i="2"/>
  <c r="P10" i="2"/>
  <c r="Q10" i="2"/>
  <c r="R10" i="2"/>
  <c r="S10" i="2"/>
  <c r="T10" i="2"/>
  <c r="U10" i="2"/>
  <c r="V10" i="2"/>
  <c r="W10" i="2"/>
  <c r="X10" i="2"/>
  <c r="Y10" i="2"/>
  <c r="Z10" i="2"/>
  <c r="AA10" i="2"/>
  <c r="AB10" i="2"/>
  <c r="AC10" i="2"/>
  <c r="AD10" i="2"/>
  <c r="AE10" i="2"/>
  <c r="AF10" i="2"/>
  <c r="AG10" i="2"/>
  <c r="AH10" i="2"/>
  <c r="AI10" i="2"/>
  <c r="AJ10" i="2"/>
  <c r="AK10" i="2"/>
  <c r="AL10" i="2"/>
  <c r="AM10" i="2"/>
  <c r="AN10" i="2"/>
  <c r="AO10" i="2"/>
  <c r="AP10" i="2"/>
  <c r="AQ10" i="2"/>
  <c r="AR10" i="2"/>
  <c r="AS10" i="2"/>
  <c r="AT10" i="2"/>
  <c r="AU10" i="2"/>
  <c r="AV10" i="2"/>
  <c r="AW10" i="2"/>
  <c r="AX10" i="2"/>
  <c r="AY10" i="2"/>
  <c r="AZ10" i="2"/>
  <c r="BA10" i="2"/>
  <c r="BB10" i="2"/>
  <c r="BC10" i="2"/>
  <c r="BD10" i="2"/>
  <c r="BE10" i="2"/>
  <c r="BF10" i="2"/>
  <c r="BG10" i="2"/>
  <c r="BH10" i="2"/>
  <c r="BI10" i="2"/>
  <c r="BJ10" i="2"/>
  <c r="BK10" i="2"/>
  <c r="BL10" i="2"/>
  <c r="BM10" i="2"/>
  <c r="BN10" i="2"/>
  <c r="BO10" i="2"/>
  <c r="BP10" i="2"/>
  <c r="BQ10" i="2"/>
  <c r="BR10" i="2"/>
  <c r="BS10" i="2"/>
  <c r="BT10" i="2"/>
  <c r="BU10" i="2"/>
  <c r="BV10" i="2"/>
  <c r="BW10" i="2"/>
  <c r="BX10" i="2"/>
  <c r="BY10" i="2"/>
  <c r="BZ10" i="2"/>
  <c r="CA10" i="2"/>
  <c r="CB10" i="2"/>
  <c r="CC10" i="2"/>
  <c r="CD10" i="2"/>
  <c r="CE10" i="2"/>
  <c r="CF10" i="2"/>
  <c r="CG10" i="2"/>
  <c r="CH10" i="2"/>
  <c r="CI10" i="2"/>
  <c r="CJ10" i="2"/>
  <c r="CK10" i="2"/>
  <c r="CL10" i="2"/>
  <c r="CM10" i="2"/>
  <c r="E11" i="2"/>
  <c r="G11" i="2"/>
  <c r="H11" i="2"/>
  <c r="K11" i="2"/>
  <c r="L11" i="2"/>
  <c r="N11" i="2"/>
  <c r="P11" i="2"/>
  <c r="Q11" i="2"/>
  <c r="R11" i="2"/>
  <c r="S11" i="2"/>
  <c r="T11" i="2"/>
  <c r="U11" i="2"/>
  <c r="V11" i="2"/>
  <c r="W11" i="2"/>
  <c r="X11" i="2"/>
  <c r="Y11" i="2"/>
  <c r="AA11" i="2"/>
  <c r="AB11" i="2"/>
  <c r="AC11" i="2"/>
  <c r="AD11" i="2"/>
  <c r="AE11" i="2"/>
  <c r="AG11" i="2"/>
  <c r="AH11" i="2"/>
  <c r="AI11" i="2"/>
  <c r="AJ11" i="2"/>
  <c r="AK11" i="2"/>
  <c r="AL11" i="2"/>
  <c r="AM11" i="2"/>
  <c r="AN11" i="2"/>
  <c r="AO11" i="2"/>
  <c r="AP11" i="2"/>
  <c r="AQ11" i="2"/>
  <c r="AR11" i="2"/>
  <c r="AS11" i="2"/>
  <c r="AT11" i="2"/>
  <c r="AU11" i="2"/>
  <c r="AV11" i="2"/>
  <c r="AW11" i="2"/>
  <c r="AX11" i="2"/>
  <c r="AY11" i="2"/>
  <c r="AZ11" i="2"/>
  <c r="BA11" i="2"/>
  <c r="BB11" i="2"/>
  <c r="BC11" i="2"/>
  <c r="BD11" i="2"/>
  <c r="BE11" i="2"/>
  <c r="BF11" i="2"/>
  <c r="BG11" i="2"/>
  <c r="BH11" i="2"/>
  <c r="BI11" i="2"/>
  <c r="BJ11" i="2"/>
  <c r="BK11" i="2"/>
  <c r="BL11" i="2"/>
  <c r="BM11" i="2"/>
  <c r="BN11" i="2"/>
  <c r="BO11" i="2"/>
  <c r="BP11" i="2"/>
  <c r="BQ11" i="2"/>
  <c r="BR11" i="2"/>
  <c r="BS11" i="2"/>
  <c r="BT11" i="2"/>
  <c r="BU11" i="2"/>
  <c r="BV11" i="2"/>
  <c r="BW11" i="2"/>
  <c r="BX11" i="2"/>
  <c r="BY11" i="2"/>
  <c r="BZ11" i="2"/>
  <c r="CA11" i="2"/>
  <c r="CB11" i="2"/>
  <c r="CC11" i="2"/>
  <c r="CD11" i="2"/>
  <c r="CE11" i="2"/>
  <c r="CF11" i="2"/>
  <c r="CG11" i="2"/>
  <c r="CH11" i="2"/>
  <c r="CI11" i="2"/>
  <c r="CJ11" i="2"/>
  <c r="CK11" i="2"/>
  <c r="CL11" i="2"/>
  <c r="CM11" i="2"/>
  <c r="E12" i="2"/>
  <c r="G12" i="2"/>
  <c r="H12" i="2"/>
  <c r="K12" i="2"/>
  <c r="L12" i="2"/>
  <c r="N12" i="2"/>
  <c r="P12" i="2"/>
  <c r="Q12" i="2"/>
  <c r="R12" i="2"/>
  <c r="S12" i="2"/>
  <c r="T12" i="2"/>
  <c r="U12" i="2"/>
  <c r="V12" i="2"/>
  <c r="W12" i="2"/>
  <c r="X12" i="2"/>
  <c r="Y12" i="2"/>
  <c r="AA12" i="2"/>
  <c r="AB12" i="2"/>
  <c r="AC12" i="2"/>
  <c r="AD12" i="2"/>
  <c r="AE12" i="2"/>
  <c r="AG12" i="2"/>
  <c r="AH12" i="2"/>
  <c r="AI12" i="2"/>
  <c r="AJ12" i="2"/>
  <c r="AK12" i="2"/>
  <c r="AL12" i="2"/>
  <c r="AM12" i="2"/>
  <c r="AN12" i="2"/>
  <c r="AO12" i="2"/>
  <c r="AP12" i="2"/>
  <c r="AQ12" i="2"/>
  <c r="AR12" i="2"/>
  <c r="AS12" i="2"/>
  <c r="AT12" i="2"/>
  <c r="AU12" i="2"/>
  <c r="AV12" i="2"/>
  <c r="AW12" i="2"/>
  <c r="AX12" i="2"/>
  <c r="AY12" i="2"/>
  <c r="AZ12" i="2"/>
  <c r="BA12" i="2"/>
  <c r="BB12" i="2"/>
  <c r="BC12" i="2"/>
  <c r="BD12" i="2"/>
  <c r="BE12" i="2"/>
  <c r="BF12" i="2"/>
  <c r="BG12" i="2"/>
  <c r="BH12" i="2"/>
  <c r="BI12" i="2"/>
  <c r="BJ12" i="2"/>
  <c r="BK12" i="2"/>
  <c r="BL12" i="2"/>
  <c r="BM12" i="2"/>
  <c r="BN12" i="2"/>
  <c r="BO12" i="2"/>
  <c r="BP12" i="2"/>
  <c r="BQ12" i="2"/>
  <c r="BR12" i="2"/>
  <c r="BS12" i="2"/>
  <c r="BT12" i="2"/>
  <c r="BU12" i="2"/>
  <c r="BV12" i="2"/>
  <c r="BW12" i="2"/>
  <c r="BX12" i="2"/>
  <c r="BY12" i="2"/>
  <c r="BZ12" i="2"/>
  <c r="CA12" i="2"/>
  <c r="CB12" i="2"/>
  <c r="CC12" i="2"/>
  <c r="CD12" i="2"/>
  <c r="CE12" i="2"/>
  <c r="CF12" i="2"/>
  <c r="CG12" i="2"/>
  <c r="CH12" i="2"/>
  <c r="CI12" i="2"/>
  <c r="CJ12" i="2"/>
  <c r="CK12" i="2"/>
  <c r="CL12" i="2"/>
  <c r="CM12" i="2"/>
  <c r="G13" i="2"/>
  <c r="H13" i="2"/>
  <c r="K13" i="2"/>
  <c r="L13" i="2"/>
  <c r="M13" i="2"/>
  <c r="N13" i="2"/>
  <c r="O13" i="2"/>
  <c r="P13" i="2"/>
  <c r="Q13" i="2"/>
  <c r="R13" i="2"/>
  <c r="S13" i="2"/>
  <c r="T13" i="2"/>
  <c r="U13" i="2"/>
  <c r="V13" i="2"/>
  <c r="Y13" i="2"/>
  <c r="Z13" i="2"/>
  <c r="AA13" i="2"/>
  <c r="AB13" i="2"/>
  <c r="AC13" i="2"/>
  <c r="AD13" i="2"/>
  <c r="AE13" i="2"/>
  <c r="AF13" i="2"/>
  <c r="AG13" i="2"/>
  <c r="AH13" i="2"/>
  <c r="AI13" i="2"/>
  <c r="AJ13" i="2"/>
  <c r="AK13" i="2"/>
  <c r="AL13" i="2"/>
  <c r="AM13" i="2"/>
  <c r="AN13" i="2"/>
  <c r="AO13" i="2"/>
  <c r="AP13" i="2"/>
  <c r="AQ13" i="2"/>
  <c r="AR13" i="2"/>
  <c r="AS13" i="2"/>
  <c r="AV13" i="2"/>
  <c r="AW13" i="2"/>
  <c r="AX13" i="2"/>
  <c r="AY13" i="2"/>
  <c r="AZ13" i="2"/>
  <c r="BA13" i="2"/>
  <c r="BB13" i="2"/>
  <c r="BC13" i="2"/>
  <c r="BD13" i="2"/>
  <c r="BE13" i="2"/>
  <c r="BF13" i="2"/>
  <c r="BG13" i="2"/>
  <c r="BI13" i="2"/>
  <c r="BJ13" i="2"/>
  <c r="BK13" i="2"/>
  <c r="BL13" i="2"/>
  <c r="BM13" i="2"/>
  <c r="BN13" i="2"/>
  <c r="BO13" i="2"/>
  <c r="BP13" i="2"/>
  <c r="BQ13" i="2"/>
  <c r="BR13" i="2"/>
  <c r="BS13" i="2"/>
  <c r="BU13" i="2"/>
  <c r="BW13" i="2"/>
  <c r="BX13" i="2"/>
  <c r="BY13" i="2"/>
  <c r="BZ13" i="2"/>
  <c r="CA13" i="2"/>
  <c r="CB13" i="2"/>
  <c r="CC13" i="2"/>
  <c r="CD13" i="2"/>
  <c r="CE13" i="2"/>
  <c r="CF13" i="2"/>
  <c r="CG13" i="2"/>
  <c r="CH13" i="2"/>
  <c r="CI13" i="2"/>
  <c r="CJ13" i="2"/>
  <c r="CK13" i="2"/>
  <c r="CL13" i="2"/>
  <c r="CM13" i="2"/>
  <c r="G14" i="2"/>
  <c r="H14" i="2"/>
  <c r="K14" i="2"/>
  <c r="L14" i="2"/>
  <c r="M14" i="2"/>
  <c r="O14" i="2"/>
  <c r="P14" i="2"/>
  <c r="Q14" i="2"/>
  <c r="R14" i="2"/>
  <c r="S14" i="2"/>
  <c r="T14" i="2"/>
  <c r="U14" i="2"/>
  <c r="V14" i="2"/>
  <c r="Y14" i="2"/>
  <c r="Z14" i="2"/>
  <c r="AA14" i="2"/>
  <c r="AB14" i="2"/>
  <c r="AC14" i="2"/>
  <c r="AD14" i="2"/>
  <c r="AF14" i="2"/>
  <c r="AG14" i="2"/>
  <c r="AH14" i="2"/>
  <c r="AI14" i="2"/>
  <c r="AJ14" i="2"/>
  <c r="AK14" i="2"/>
  <c r="AL14" i="2"/>
  <c r="AM14" i="2"/>
  <c r="AN14" i="2"/>
  <c r="AO14" i="2"/>
  <c r="AP14" i="2"/>
  <c r="AQ14" i="2"/>
  <c r="AR14" i="2"/>
  <c r="AS14" i="2"/>
  <c r="AV14" i="2"/>
  <c r="AW14" i="2"/>
  <c r="AY14" i="2"/>
  <c r="AZ14" i="2"/>
  <c r="BA14" i="2"/>
  <c r="BB14" i="2"/>
  <c r="BC14" i="2"/>
  <c r="BD14" i="2"/>
  <c r="BE14" i="2"/>
  <c r="BF14" i="2"/>
  <c r="BG14" i="2"/>
  <c r="BI14" i="2"/>
  <c r="BJ14" i="2"/>
  <c r="BK14" i="2"/>
  <c r="BL14" i="2"/>
  <c r="BM14" i="2"/>
  <c r="BN14" i="2"/>
  <c r="BO14" i="2"/>
  <c r="BP14" i="2"/>
  <c r="BQ14" i="2"/>
  <c r="BR14" i="2"/>
  <c r="BS14" i="2"/>
  <c r="BU14" i="2"/>
  <c r="BW14" i="2"/>
  <c r="BX14" i="2"/>
  <c r="BY14" i="2"/>
  <c r="BZ14" i="2"/>
  <c r="CA14" i="2"/>
  <c r="CB14" i="2"/>
  <c r="CC14" i="2"/>
  <c r="CD14" i="2"/>
  <c r="CE14" i="2"/>
  <c r="CF14" i="2"/>
  <c r="CG14" i="2"/>
  <c r="CH14" i="2"/>
  <c r="CI14" i="2"/>
  <c r="CJ14" i="2"/>
  <c r="CK14" i="2"/>
  <c r="CL14" i="2"/>
  <c r="CM14" i="2"/>
  <c r="G15" i="2"/>
  <c r="H15" i="2"/>
  <c r="K15" i="2"/>
  <c r="L15" i="2"/>
  <c r="P15" i="2"/>
  <c r="U15" i="2"/>
  <c r="Y15" i="2"/>
  <c r="AA15" i="2"/>
  <c r="AB15" i="2"/>
  <c r="AG15" i="2"/>
  <c r="AI15" i="2"/>
  <c r="AK15" i="2"/>
  <c r="AM15" i="2"/>
  <c r="BA15" i="2"/>
  <c r="BE15" i="2"/>
  <c r="BF15" i="2"/>
  <c r="BO15" i="2"/>
  <c r="BP15" i="2"/>
  <c r="BQ15" i="2"/>
  <c r="BS15" i="2"/>
  <c r="BU15" i="2"/>
  <c r="CG15" i="2"/>
  <c r="CK15" i="2"/>
  <c r="CM15" i="2"/>
  <c r="E16" i="2"/>
  <c r="G16" i="2"/>
  <c r="H16" i="2"/>
  <c r="K16" i="2"/>
  <c r="L16" i="2"/>
  <c r="M16" i="2"/>
  <c r="N16" i="2"/>
  <c r="O16" i="2"/>
  <c r="P16" i="2"/>
  <c r="Q16" i="2"/>
  <c r="R16" i="2"/>
  <c r="S16" i="2"/>
  <c r="T16" i="2"/>
  <c r="U16" i="2"/>
  <c r="V16" i="2"/>
  <c r="W16" i="2"/>
  <c r="X16" i="2"/>
  <c r="Y16" i="2"/>
  <c r="Z16" i="2"/>
  <c r="AA16" i="2"/>
  <c r="AB16" i="2"/>
  <c r="AC16" i="2"/>
  <c r="AD16" i="2"/>
  <c r="AE16" i="2"/>
  <c r="AF16" i="2"/>
  <c r="AG16" i="2"/>
  <c r="AH16" i="2"/>
  <c r="AI16" i="2"/>
  <c r="AJ16" i="2"/>
  <c r="AK16" i="2"/>
  <c r="AL16" i="2"/>
  <c r="AM16" i="2"/>
  <c r="AN16" i="2"/>
  <c r="AO16" i="2"/>
  <c r="AP16" i="2"/>
  <c r="AQ16" i="2"/>
  <c r="AR16" i="2"/>
  <c r="AS16" i="2"/>
  <c r="AT16" i="2"/>
  <c r="AU16" i="2"/>
  <c r="AV16" i="2"/>
  <c r="AW16" i="2"/>
  <c r="AX16" i="2"/>
  <c r="AY16" i="2"/>
  <c r="AZ16" i="2"/>
  <c r="BA16" i="2"/>
  <c r="BB16" i="2"/>
  <c r="BC16" i="2"/>
  <c r="BD16" i="2"/>
  <c r="BE16" i="2"/>
  <c r="BF16" i="2"/>
  <c r="BG16" i="2"/>
  <c r="BH16" i="2"/>
  <c r="BI16" i="2"/>
  <c r="BJ16" i="2"/>
  <c r="BK16" i="2"/>
  <c r="BL16" i="2"/>
  <c r="BM16" i="2"/>
  <c r="BN16" i="2"/>
  <c r="BO16" i="2"/>
  <c r="BP16" i="2"/>
  <c r="BQ16" i="2"/>
  <c r="BR16" i="2"/>
  <c r="BS16" i="2"/>
  <c r="BT16" i="2"/>
  <c r="BU16" i="2"/>
  <c r="BV16" i="2"/>
  <c r="BW16" i="2"/>
  <c r="BX16" i="2"/>
  <c r="BY16" i="2"/>
  <c r="BZ16" i="2"/>
  <c r="CA16" i="2"/>
  <c r="CB16" i="2"/>
  <c r="CC16" i="2"/>
  <c r="CD16" i="2"/>
  <c r="CE16" i="2"/>
  <c r="CF16" i="2"/>
  <c r="CG16" i="2"/>
  <c r="CH16" i="2"/>
  <c r="CI16" i="2"/>
  <c r="CJ16" i="2"/>
  <c r="CK16" i="2"/>
  <c r="CL16" i="2"/>
  <c r="CM16" i="2"/>
  <c r="E17" i="2"/>
  <c r="G17" i="2"/>
  <c r="H17" i="2"/>
  <c r="K17" i="2"/>
  <c r="L17" i="2"/>
  <c r="M17" i="2"/>
  <c r="N17" i="2"/>
  <c r="O17" i="2"/>
  <c r="P17" i="2"/>
  <c r="Q17" i="2"/>
  <c r="R17" i="2"/>
  <c r="S17" i="2"/>
  <c r="T17" i="2"/>
  <c r="U17" i="2"/>
  <c r="V17" i="2"/>
  <c r="W17" i="2"/>
  <c r="X17" i="2"/>
  <c r="Y17" i="2"/>
  <c r="Z17" i="2"/>
  <c r="AA17" i="2"/>
  <c r="AB17" i="2"/>
  <c r="AC17" i="2"/>
  <c r="AD17" i="2"/>
  <c r="AE17" i="2"/>
  <c r="AF17" i="2"/>
  <c r="AG17" i="2"/>
  <c r="AH17" i="2"/>
  <c r="AI17" i="2"/>
  <c r="AJ17" i="2"/>
  <c r="AK17" i="2"/>
  <c r="AL17" i="2"/>
  <c r="AM17" i="2"/>
  <c r="AN17" i="2"/>
  <c r="AO17" i="2"/>
  <c r="AP17" i="2"/>
  <c r="AQ17" i="2"/>
  <c r="AR17" i="2"/>
  <c r="AS17" i="2"/>
  <c r="AT17" i="2"/>
  <c r="AU17" i="2"/>
  <c r="AV17" i="2"/>
  <c r="AW17" i="2"/>
  <c r="AX17" i="2"/>
  <c r="AY17" i="2"/>
  <c r="AZ17" i="2"/>
  <c r="BA17" i="2"/>
  <c r="BB17" i="2"/>
  <c r="BC17" i="2"/>
  <c r="BD17" i="2"/>
  <c r="BE17" i="2"/>
  <c r="BF17" i="2"/>
  <c r="BG17" i="2"/>
  <c r="BH17" i="2"/>
  <c r="BI17" i="2"/>
  <c r="BJ17" i="2"/>
  <c r="BK17" i="2"/>
  <c r="BL17" i="2"/>
  <c r="BM17" i="2"/>
  <c r="BN17" i="2"/>
  <c r="BO17" i="2"/>
  <c r="BP17" i="2"/>
  <c r="BQ17" i="2"/>
  <c r="BR17" i="2"/>
  <c r="BS17" i="2"/>
  <c r="BT17" i="2"/>
  <c r="BU17" i="2"/>
  <c r="BV17" i="2"/>
  <c r="BW17" i="2"/>
  <c r="BX17" i="2"/>
  <c r="BY17" i="2"/>
  <c r="BZ17" i="2"/>
  <c r="CA17" i="2"/>
  <c r="CB17" i="2"/>
  <c r="CC17" i="2"/>
  <c r="CD17" i="2"/>
  <c r="CE17" i="2"/>
  <c r="CF17" i="2"/>
  <c r="CG17" i="2"/>
  <c r="CH17" i="2"/>
  <c r="CI17" i="2"/>
  <c r="CJ17" i="2"/>
  <c r="CK17" i="2"/>
  <c r="CL17" i="2"/>
  <c r="CM17" i="2"/>
  <c r="E18" i="2"/>
  <c r="G18" i="2"/>
  <c r="H18" i="2"/>
  <c r="K18" i="2"/>
  <c r="L18" i="2"/>
  <c r="M18" i="2"/>
  <c r="N18" i="2"/>
  <c r="O18" i="2"/>
  <c r="P18" i="2"/>
  <c r="Q18" i="2"/>
  <c r="R18" i="2"/>
  <c r="S18" i="2"/>
  <c r="T18" i="2"/>
  <c r="U18" i="2"/>
  <c r="V18" i="2"/>
  <c r="W18" i="2"/>
  <c r="X18" i="2"/>
  <c r="Y18" i="2"/>
  <c r="Z18" i="2"/>
  <c r="AA18" i="2"/>
  <c r="AB18" i="2"/>
  <c r="AC18" i="2"/>
  <c r="AD18" i="2"/>
  <c r="AE18" i="2"/>
  <c r="AF18" i="2"/>
  <c r="AG18" i="2"/>
  <c r="AH18" i="2"/>
  <c r="AI18" i="2"/>
  <c r="AJ18" i="2"/>
  <c r="AK18" i="2"/>
  <c r="AL18" i="2"/>
  <c r="AM18" i="2"/>
  <c r="AN18" i="2"/>
  <c r="AO18" i="2"/>
  <c r="AP18" i="2"/>
  <c r="AQ18" i="2"/>
  <c r="AR18" i="2"/>
  <c r="AS18" i="2"/>
  <c r="AT18" i="2"/>
  <c r="AU18" i="2"/>
  <c r="AV18" i="2"/>
  <c r="AW18" i="2"/>
  <c r="AX18" i="2"/>
  <c r="AY18" i="2"/>
  <c r="AZ18" i="2"/>
  <c r="BA18" i="2"/>
  <c r="BB18" i="2"/>
  <c r="BC18" i="2"/>
  <c r="BD18" i="2"/>
  <c r="BE18" i="2"/>
  <c r="BF18" i="2"/>
  <c r="BG18" i="2"/>
  <c r="BH18" i="2"/>
  <c r="BI18" i="2"/>
  <c r="BJ18" i="2"/>
  <c r="BK18" i="2"/>
  <c r="BL18" i="2"/>
  <c r="BM18" i="2"/>
  <c r="BN18" i="2"/>
  <c r="BO18" i="2"/>
  <c r="BP18" i="2"/>
  <c r="BQ18" i="2"/>
  <c r="BR18" i="2"/>
  <c r="BS18" i="2"/>
  <c r="BT18" i="2"/>
  <c r="BU18" i="2"/>
  <c r="BV18" i="2"/>
  <c r="BW18" i="2"/>
  <c r="BX18" i="2"/>
  <c r="BY18" i="2"/>
  <c r="BZ18" i="2"/>
  <c r="CA18" i="2"/>
  <c r="CB18" i="2"/>
  <c r="CC18" i="2"/>
  <c r="CD18" i="2"/>
  <c r="CE18" i="2"/>
  <c r="CF18" i="2"/>
  <c r="CG18" i="2"/>
  <c r="CH18" i="2"/>
  <c r="CI18" i="2"/>
  <c r="CJ18" i="2"/>
  <c r="CK18" i="2"/>
  <c r="CL18" i="2"/>
  <c r="CM18" i="2"/>
  <c r="E19" i="2"/>
  <c r="G19" i="2"/>
  <c r="H19" i="2"/>
  <c r="K19" i="2"/>
  <c r="L19" i="2"/>
  <c r="M19" i="2"/>
  <c r="N19" i="2"/>
  <c r="O19" i="2"/>
  <c r="P19" i="2"/>
  <c r="Q19" i="2"/>
  <c r="R19" i="2"/>
  <c r="S19" i="2"/>
  <c r="T19" i="2"/>
  <c r="U19" i="2"/>
  <c r="V19" i="2"/>
  <c r="W19" i="2"/>
  <c r="X19" i="2"/>
  <c r="Y19" i="2"/>
  <c r="Z19" i="2"/>
  <c r="AA19" i="2"/>
  <c r="AB19" i="2"/>
  <c r="AC19" i="2"/>
  <c r="AD19" i="2"/>
  <c r="AE19" i="2"/>
  <c r="AF19" i="2"/>
  <c r="AG19" i="2"/>
  <c r="AH19" i="2"/>
  <c r="AI19" i="2"/>
  <c r="AJ19" i="2"/>
  <c r="AK19" i="2"/>
  <c r="AL19" i="2"/>
  <c r="AM19" i="2"/>
  <c r="AN19" i="2"/>
  <c r="AO19" i="2"/>
  <c r="AP19" i="2"/>
  <c r="AQ19" i="2"/>
  <c r="AR19" i="2"/>
  <c r="AS19" i="2"/>
  <c r="AT19" i="2"/>
  <c r="AU19" i="2"/>
  <c r="AV19" i="2"/>
  <c r="AW19" i="2"/>
  <c r="AX19" i="2"/>
  <c r="AY19" i="2"/>
  <c r="AZ19" i="2"/>
  <c r="BA19" i="2"/>
  <c r="BB19" i="2"/>
  <c r="BC19" i="2"/>
  <c r="BD19" i="2"/>
  <c r="BE19" i="2"/>
  <c r="BF19" i="2"/>
  <c r="BG19" i="2"/>
  <c r="BH19" i="2"/>
  <c r="BI19" i="2"/>
  <c r="BJ19" i="2"/>
  <c r="BK19" i="2"/>
  <c r="BL19" i="2"/>
  <c r="BM19" i="2"/>
  <c r="BN19" i="2"/>
  <c r="BO19" i="2"/>
  <c r="BP19" i="2"/>
  <c r="BQ19" i="2"/>
  <c r="BR19" i="2"/>
  <c r="BS19" i="2"/>
  <c r="BT19" i="2"/>
  <c r="BU19" i="2"/>
  <c r="BV19" i="2"/>
  <c r="BW19" i="2"/>
  <c r="BX19" i="2"/>
  <c r="BY19" i="2"/>
  <c r="BZ19" i="2"/>
  <c r="CA19" i="2"/>
  <c r="CB19" i="2"/>
  <c r="CC19" i="2"/>
  <c r="CD19" i="2"/>
  <c r="CE19" i="2"/>
  <c r="CF19" i="2"/>
  <c r="CG19" i="2"/>
  <c r="CH19" i="2"/>
  <c r="CI19" i="2"/>
  <c r="CJ19" i="2"/>
  <c r="CK19" i="2"/>
  <c r="CL19" i="2"/>
  <c r="CM19" i="2"/>
  <c r="E20" i="2"/>
  <c r="G20" i="2"/>
  <c r="H20" i="2"/>
  <c r="K20" i="2"/>
  <c r="L20" i="2"/>
  <c r="M20" i="2"/>
  <c r="N20" i="2"/>
  <c r="O20" i="2"/>
  <c r="P20" i="2"/>
  <c r="Q20" i="2"/>
  <c r="R20" i="2"/>
  <c r="S20" i="2"/>
  <c r="T20" i="2"/>
  <c r="U20" i="2"/>
  <c r="V20" i="2"/>
  <c r="W20" i="2"/>
  <c r="X20" i="2"/>
  <c r="Y20" i="2"/>
  <c r="Z20" i="2"/>
  <c r="AA20" i="2"/>
  <c r="AB20" i="2"/>
  <c r="AC20" i="2"/>
  <c r="AD20" i="2"/>
  <c r="AE20" i="2"/>
  <c r="AF20" i="2"/>
  <c r="AG20" i="2"/>
  <c r="AH20" i="2"/>
  <c r="AI20" i="2"/>
  <c r="AJ20" i="2"/>
  <c r="AK20" i="2"/>
  <c r="AL20" i="2"/>
  <c r="AM20" i="2"/>
  <c r="AN20" i="2"/>
  <c r="AO20" i="2"/>
  <c r="AP20" i="2"/>
  <c r="AQ20" i="2"/>
  <c r="AR20" i="2"/>
  <c r="AS20" i="2"/>
  <c r="AT20" i="2"/>
  <c r="AU20" i="2"/>
  <c r="AV20" i="2"/>
  <c r="AW20" i="2"/>
  <c r="AX20" i="2"/>
  <c r="AY20" i="2"/>
  <c r="AZ20" i="2"/>
  <c r="BA20" i="2"/>
  <c r="BB20" i="2"/>
  <c r="BC20" i="2"/>
  <c r="BD20" i="2"/>
  <c r="BE20" i="2"/>
  <c r="BF20" i="2"/>
  <c r="BG20" i="2"/>
  <c r="BH20" i="2"/>
  <c r="BI20" i="2"/>
  <c r="BJ20" i="2"/>
  <c r="BK20" i="2"/>
  <c r="BL20" i="2"/>
  <c r="BM20" i="2"/>
  <c r="BN20" i="2"/>
  <c r="BO20" i="2"/>
  <c r="BP20" i="2"/>
  <c r="BQ20" i="2"/>
  <c r="BR20" i="2"/>
  <c r="BS20" i="2"/>
  <c r="BT20" i="2"/>
  <c r="BU20" i="2"/>
  <c r="BV20" i="2"/>
  <c r="BW20" i="2"/>
  <c r="BX20" i="2"/>
  <c r="BY20" i="2"/>
  <c r="BZ20" i="2"/>
  <c r="CA20" i="2"/>
  <c r="CB20" i="2"/>
  <c r="CC20" i="2"/>
  <c r="CD20" i="2"/>
  <c r="CE20" i="2"/>
  <c r="CF20" i="2"/>
  <c r="CG20" i="2"/>
  <c r="CH20" i="2"/>
  <c r="CI20" i="2"/>
  <c r="CJ20" i="2"/>
  <c r="CK20" i="2"/>
  <c r="CL20" i="2"/>
  <c r="CM20" i="2"/>
  <c r="E21" i="2"/>
  <c r="G21" i="2"/>
  <c r="H21" i="2"/>
  <c r="K21" i="2"/>
  <c r="L21" i="2"/>
  <c r="M21" i="2"/>
  <c r="N21" i="2"/>
  <c r="O21" i="2"/>
  <c r="P21" i="2"/>
  <c r="Q21" i="2"/>
  <c r="R21" i="2"/>
  <c r="S21" i="2"/>
  <c r="T21" i="2"/>
  <c r="U21" i="2"/>
  <c r="V21" i="2"/>
  <c r="W21" i="2"/>
  <c r="Y21" i="2"/>
  <c r="Z21" i="2"/>
  <c r="AA21" i="2"/>
  <c r="AB21" i="2"/>
  <c r="AC21" i="2"/>
  <c r="AE21" i="2"/>
  <c r="AF21" i="2"/>
  <c r="AG21" i="2"/>
  <c r="AI21" i="2"/>
  <c r="AJ21" i="2"/>
  <c r="AK21" i="2"/>
  <c r="AL21" i="2"/>
  <c r="AM21" i="2"/>
  <c r="AO21" i="2"/>
  <c r="AP21" i="2"/>
  <c r="AR21" i="2"/>
  <c r="AS21" i="2"/>
  <c r="AT21" i="2"/>
  <c r="AV21" i="2"/>
  <c r="AW21" i="2"/>
  <c r="AX21" i="2"/>
  <c r="AZ21" i="2"/>
  <c r="BA21" i="2"/>
  <c r="BB21" i="2"/>
  <c r="BC21" i="2"/>
  <c r="BD21" i="2"/>
  <c r="BF21" i="2"/>
  <c r="BJ21" i="2"/>
  <c r="BK21" i="2"/>
  <c r="BN21" i="2"/>
  <c r="BO21" i="2"/>
  <c r="BP21" i="2"/>
  <c r="BQ21" i="2"/>
  <c r="BR21" i="2"/>
  <c r="BS21" i="2"/>
  <c r="BT21" i="2"/>
  <c r="BU21" i="2"/>
  <c r="BX21" i="2"/>
  <c r="BY21" i="2"/>
  <c r="CB21" i="2"/>
  <c r="CE21" i="2"/>
  <c r="CF21" i="2"/>
  <c r="CG21" i="2"/>
  <c r="CH21" i="2"/>
  <c r="CI21" i="2"/>
  <c r="CK21" i="2"/>
  <c r="CM21" i="2"/>
  <c r="E22" i="2"/>
  <c r="G22" i="2"/>
  <c r="H22" i="2"/>
  <c r="K22" i="2"/>
  <c r="L22" i="2"/>
  <c r="M22" i="2"/>
  <c r="O22" i="2"/>
  <c r="P22" i="2"/>
  <c r="Q22" i="2"/>
  <c r="R22" i="2"/>
  <c r="S22" i="2"/>
  <c r="T22" i="2"/>
  <c r="V22" i="2"/>
  <c r="W22" i="2"/>
  <c r="Y22" i="2"/>
  <c r="Z22" i="2"/>
  <c r="AA22" i="2"/>
  <c r="AB22" i="2"/>
  <c r="AC22" i="2"/>
  <c r="AF22" i="2"/>
  <c r="AG22" i="2"/>
  <c r="AI22" i="2"/>
  <c r="AJ22" i="2"/>
  <c r="AK22" i="2"/>
  <c r="AL22" i="2"/>
  <c r="AM22" i="2"/>
  <c r="AN22" i="2"/>
  <c r="AO22" i="2"/>
  <c r="AP22" i="2"/>
  <c r="AR22" i="2"/>
  <c r="AS22" i="2"/>
  <c r="AT22" i="2"/>
  <c r="AV22" i="2"/>
  <c r="AW22" i="2"/>
  <c r="AX22" i="2"/>
  <c r="AZ22" i="2"/>
  <c r="BA22" i="2"/>
  <c r="BB22" i="2"/>
  <c r="BC22" i="2"/>
  <c r="BD22" i="2"/>
  <c r="BF22" i="2"/>
  <c r="BJ22" i="2"/>
  <c r="BK22" i="2"/>
  <c r="BN22" i="2"/>
  <c r="BO22" i="2"/>
  <c r="BP22" i="2"/>
  <c r="BQ22" i="2"/>
  <c r="BR22" i="2"/>
  <c r="BS22" i="2"/>
  <c r="BT22" i="2"/>
  <c r="BX22" i="2"/>
  <c r="BY22" i="2"/>
  <c r="CA22" i="2"/>
  <c r="CE22" i="2"/>
  <c r="CF22" i="2"/>
  <c r="CG22" i="2"/>
  <c r="CH22" i="2"/>
  <c r="CI22" i="2"/>
  <c r="CK22" i="2"/>
  <c r="CM22" i="2"/>
  <c r="E23" i="2"/>
  <c r="G23" i="2"/>
  <c r="H23" i="2"/>
  <c r="K23" i="2"/>
  <c r="L23" i="2"/>
  <c r="M23" i="2"/>
  <c r="O23" i="2"/>
  <c r="P23" i="2"/>
  <c r="Q23" i="2"/>
  <c r="R23" i="2"/>
  <c r="S23" i="2"/>
  <c r="T23" i="2"/>
  <c r="V23" i="2"/>
  <c r="W23" i="2"/>
  <c r="X23" i="2"/>
  <c r="Y23" i="2"/>
  <c r="Z23" i="2"/>
  <c r="AA23" i="2"/>
  <c r="AB23" i="2"/>
  <c r="AC23" i="2"/>
  <c r="AD23" i="2"/>
  <c r="AF23" i="2"/>
  <c r="AG23" i="2"/>
  <c r="AH23" i="2"/>
  <c r="AI23" i="2"/>
  <c r="AJ23" i="2"/>
  <c r="AK23" i="2"/>
  <c r="AL23" i="2"/>
  <c r="AM23" i="2"/>
  <c r="AO23" i="2"/>
  <c r="AP23" i="2"/>
  <c r="AQ23" i="2"/>
  <c r="AR23" i="2"/>
  <c r="AS23" i="2"/>
  <c r="AT23" i="2"/>
  <c r="AU23" i="2"/>
  <c r="AV23" i="2"/>
  <c r="AW23" i="2"/>
  <c r="AX23" i="2"/>
  <c r="AY23" i="2"/>
  <c r="AZ23" i="2"/>
  <c r="BA23" i="2"/>
  <c r="BB23" i="2"/>
  <c r="BC23" i="2"/>
  <c r="BD23" i="2"/>
  <c r="BE23" i="2"/>
  <c r="BF23" i="2"/>
  <c r="BG23" i="2"/>
  <c r="BH23" i="2"/>
  <c r="BI23" i="2"/>
  <c r="BJ23" i="2"/>
  <c r="BK23" i="2"/>
  <c r="BL23" i="2"/>
  <c r="BM23" i="2"/>
  <c r="BN23" i="2"/>
  <c r="BO23" i="2"/>
  <c r="BP23" i="2"/>
  <c r="BQ23" i="2"/>
  <c r="BR23" i="2"/>
  <c r="BS23" i="2"/>
  <c r="BT23" i="2"/>
  <c r="BV23" i="2"/>
  <c r="BW23" i="2"/>
  <c r="BX23" i="2"/>
  <c r="BY23" i="2"/>
  <c r="BZ23" i="2"/>
  <c r="CC23" i="2"/>
  <c r="CD23" i="2"/>
  <c r="CE23" i="2"/>
  <c r="CF23" i="2"/>
  <c r="CG23" i="2"/>
  <c r="CH23" i="2"/>
  <c r="CI23" i="2"/>
  <c r="CK23" i="2"/>
  <c r="CL23" i="2"/>
  <c r="CM23" i="2"/>
  <c r="E24" i="2"/>
  <c r="F24" i="2"/>
  <c r="G24" i="2"/>
  <c r="H24" i="2"/>
  <c r="K24" i="2"/>
  <c r="L24" i="2"/>
  <c r="M24" i="2"/>
  <c r="N24" i="2"/>
  <c r="O24" i="2"/>
  <c r="P24" i="2"/>
  <c r="Q24" i="2"/>
  <c r="R24" i="2"/>
  <c r="S24" i="2"/>
  <c r="T24" i="2"/>
  <c r="U24" i="2"/>
  <c r="V24" i="2"/>
  <c r="W24" i="2"/>
  <c r="X24" i="2"/>
  <c r="Y24" i="2"/>
  <c r="Z24" i="2"/>
  <c r="AA24" i="2"/>
  <c r="AB24" i="2"/>
  <c r="AC24" i="2"/>
  <c r="AD24" i="2"/>
  <c r="AE24" i="2"/>
  <c r="AF24" i="2"/>
  <c r="AG24" i="2"/>
  <c r="AH24" i="2"/>
  <c r="AI24" i="2"/>
  <c r="AJ24" i="2"/>
  <c r="AK24" i="2"/>
  <c r="AL24" i="2"/>
  <c r="AM24" i="2"/>
  <c r="AN24" i="2"/>
  <c r="AO24" i="2"/>
  <c r="AP24" i="2"/>
  <c r="AQ24" i="2"/>
  <c r="AR24" i="2"/>
  <c r="AS24" i="2"/>
  <c r="AT24" i="2"/>
  <c r="AU24" i="2"/>
  <c r="AV24" i="2"/>
  <c r="AW24" i="2"/>
  <c r="AX24" i="2"/>
  <c r="AY24" i="2"/>
  <c r="AZ24" i="2"/>
  <c r="BA24" i="2"/>
  <c r="BB24" i="2"/>
  <c r="BC24" i="2"/>
  <c r="BD24" i="2"/>
  <c r="BE24" i="2"/>
  <c r="BF24" i="2"/>
  <c r="BG24" i="2"/>
  <c r="BH24" i="2"/>
  <c r="BI24" i="2"/>
  <c r="BJ24" i="2"/>
  <c r="BK24" i="2"/>
  <c r="BL24" i="2"/>
  <c r="BM24" i="2"/>
  <c r="BN24" i="2"/>
  <c r="BO24" i="2"/>
  <c r="BP24" i="2"/>
  <c r="BQ24" i="2"/>
  <c r="BR24" i="2"/>
  <c r="BS24" i="2"/>
  <c r="BT24" i="2"/>
  <c r="BU24" i="2"/>
  <c r="BV24" i="2"/>
  <c r="BW24" i="2"/>
  <c r="BX24" i="2"/>
  <c r="BY24" i="2"/>
  <c r="BZ24" i="2"/>
  <c r="CA24" i="2"/>
  <c r="CB24" i="2"/>
  <c r="CC24" i="2"/>
  <c r="CD24" i="2"/>
  <c r="CE24" i="2"/>
  <c r="CF24" i="2"/>
  <c r="CG24" i="2"/>
  <c r="CH24" i="2"/>
  <c r="CI24" i="2"/>
  <c r="CJ24" i="2"/>
  <c r="CK24" i="2"/>
  <c r="CL24" i="2"/>
  <c r="CM24" i="2"/>
  <c r="E25" i="2"/>
  <c r="G25" i="2"/>
  <c r="H25" i="2"/>
  <c r="K25" i="2"/>
  <c r="L25" i="2"/>
  <c r="M25" i="2"/>
  <c r="O25" i="2"/>
  <c r="P25" i="2"/>
  <c r="Q25" i="2"/>
  <c r="R25" i="2"/>
  <c r="S25" i="2"/>
  <c r="T25" i="2"/>
  <c r="U25" i="2"/>
  <c r="V25" i="2"/>
  <c r="W25" i="2"/>
  <c r="X25" i="2"/>
  <c r="Y25" i="2"/>
  <c r="Z25" i="2"/>
  <c r="AA25" i="2"/>
  <c r="AB25" i="2"/>
  <c r="AC25" i="2"/>
  <c r="AD25" i="2"/>
  <c r="AE25" i="2"/>
  <c r="AF25" i="2"/>
  <c r="AG25" i="2"/>
  <c r="AH25" i="2"/>
  <c r="AI25" i="2"/>
  <c r="AJ25" i="2"/>
  <c r="AK25" i="2"/>
  <c r="AL25" i="2"/>
  <c r="AN25" i="2"/>
  <c r="AO25" i="2"/>
  <c r="AP25" i="2"/>
  <c r="AQ25" i="2"/>
  <c r="AR25" i="2"/>
  <c r="AS25" i="2"/>
  <c r="AT25" i="2"/>
  <c r="AU25" i="2"/>
  <c r="AV25" i="2"/>
  <c r="AW25" i="2"/>
  <c r="AX25" i="2"/>
  <c r="AY25" i="2"/>
  <c r="AZ25" i="2"/>
  <c r="BA25" i="2"/>
  <c r="BB25" i="2"/>
  <c r="BC25" i="2"/>
  <c r="BD25" i="2"/>
  <c r="BE25" i="2"/>
  <c r="BF25" i="2"/>
  <c r="BG25" i="2"/>
  <c r="BH25" i="2"/>
  <c r="BJ25" i="2"/>
  <c r="BK25" i="2"/>
  <c r="BL25" i="2"/>
  <c r="BM25" i="2"/>
  <c r="BN25" i="2"/>
  <c r="BO25" i="2"/>
  <c r="BP25" i="2"/>
  <c r="BQ25" i="2"/>
  <c r="BR25" i="2"/>
  <c r="BT25" i="2"/>
  <c r="BU25" i="2"/>
  <c r="BV25" i="2"/>
  <c r="BX25" i="2"/>
  <c r="BY25" i="2"/>
  <c r="BZ25" i="2"/>
  <c r="CA25" i="2"/>
  <c r="CB25" i="2"/>
  <c r="CC25" i="2"/>
  <c r="CD25" i="2"/>
  <c r="CE25" i="2"/>
  <c r="CF25" i="2"/>
  <c r="CG25" i="2"/>
  <c r="CH25" i="2"/>
  <c r="CI25" i="2"/>
  <c r="CJ25" i="2"/>
  <c r="CK25" i="2"/>
  <c r="CL25" i="2"/>
  <c r="CM25" i="2"/>
  <c r="E26" i="2"/>
  <c r="G26" i="2"/>
  <c r="H26" i="2"/>
  <c r="K26" i="2"/>
  <c r="L26" i="2"/>
  <c r="M26" i="2"/>
  <c r="O26" i="2"/>
  <c r="P26" i="2"/>
  <c r="Q26" i="2"/>
  <c r="R26" i="2"/>
  <c r="S26" i="2"/>
  <c r="T26" i="2"/>
  <c r="U26" i="2"/>
  <c r="V26" i="2"/>
  <c r="W26" i="2"/>
  <c r="X26" i="2"/>
  <c r="Y26" i="2"/>
  <c r="Z26" i="2"/>
  <c r="AA26" i="2"/>
  <c r="AB26" i="2"/>
  <c r="AC26" i="2"/>
  <c r="AD26" i="2"/>
  <c r="AE26" i="2"/>
  <c r="AF26" i="2"/>
  <c r="AG26" i="2"/>
  <c r="AH26" i="2"/>
  <c r="AI26" i="2"/>
  <c r="AJ26" i="2"/>
  <c r="AK26" i="2"/>
  <c r="AL26" i="2"/>
  <c r="AN26" i="2"/>
  <c r="AO26" i="2"/>
  <c r="AP26" i="2"/>
  <c r="AQ26" i="2"/>
  <c r="AR26" i="2"/>
  <c r="AS26" i="2"/>
  <c r="AT26" i="2"/>
  <c r="AU26" i="2"/>
  <c r="AV26" i="2"/>
  <c r="AW26" i="2"/>
  <c r="AX26" i="2"/>
  <c r="AY26" i="2"/>
  <c r="AZ26" i="2"/>
  <c r="BA26" i="2"/>
  <c r="BB26" i="2"/>
  <c r="BC26" i="2"/>
  <c r="BD26" i="2"/>
  <c r="BE26" i="2"/>
  <c r="BF26" i="2"/>
  <c r="BG26" i="2"/>
  <c r="BH26" i="2"/>
  <c r="BJ26" i="2"/>
  <c r="BK26" i="2"/>
  <c r="BL26" i="2"/>
  <c r="BM26" i="2"/>
  <c r="BN26" i="2"/>
  <c r="BO26" i="2"/>
  <c r="BP26" i="2"/>
  <c r="BQ26" i="2"/>
  <c r="BR26" i="2"/>
  <c r="BT26" i="2"/>
  <c r="BU26" i="2"/>
  <c r="BV26" i="2"/>
  <c r="BX26" i="2"/>
  <c r="BY26" i="2"/>
  <c r="BZ26" i="2"/>
  <c r="CA26" i="2"/>
  <c r="CB26" i="2"/>
  <c r="CC26" i="2"/>
  <c r="CD26" i="2"/>
  <c r="CE26" i="2"/>
  <c r="CF26" i="2"/>
  <c r="CG26" i="2"/>
  <c r="CH26" i="2"/>
  <c r="CI26" i="2"/>
  <c r="CJ26" i="2"/>
  <c r="CK26" i="2"/>
  <c r="CL26" i="2"/>
  <c r="CM26" i="2"/>
  <c r="E27" i="2"/>
  <c r="G27" i="2"/>
  <c r="H27" i="2"/>
  <c r="K27" i="2"/>
  <c r="L27" i="2"/>
  <c r="M27" i="2"/>
  <c r="O27" i="2"/>
  <c r="P27" i="2"/>
  <c r="Q27" i="2"/>
  <c r="R27" i="2"/>
  <c r="S27" i="2"/>
  <c r="T27" i="2"/>
  <c r="U27" i="2"/>
  <c r="V27" i="2"/>
  <c r="W27" i="2"/>
  <c r="X27" i="2"/>
  <c r="Y27" i="2"/>
  <c r="Z27" i="2"/>
  <c r="AA27" i="2"/>
  <c r="AB27" i="2"/>
  <c r="AC27" i="2"/>
  <c r="AD27" i="2"/>
  <c r="AE27" i="2"/>
  <c r="AF27" i="2"/>
  <c r="AG27" i="2"/>
  <c r="AH27" i="2"/>
  <c r="AI27" i="2"/>
  <c r="AJ27" i="2"/>
  <c r="AK27" i="2"/>
  <c r="AL27" i="2"/>
  <c r="AN27" i="2"/>
  <c r="AO27" i="2"/>
  <c r="AP27" i="2"/>
  <c r="AQ27" i="2"/>
  <c r="AR27" i="2"/>
  <c r="AS27" i="2"/>
  <c r="AT27" i="2"/>
  <c r="AU27" i="2"/>
  <c r="AV27" i="2"/>
  <c r="AW27" i="2"/>
  <c r="AX27" i="2"/>
  <c r="AY27" i="2"/>
  <c r="AZ27" i="2"/>
  <c r="BA27" i="2"/>
  <c r="BB27" i="2"/>
  <c r="BC27" i="2"/>
  <c r="BD27" i="2"/>
  <c r="BE27" i="2"/>
  <c r="BF27" i="2"/>
  <c r="BG27" i="2"/>
  <c r="BH27" i="2"/>
  <c r="BJ27" i="2"/>
  <c r="BK27" i="2"/>
  <c r="BL27" i="2"/>
  <c r="BM27" i="2"/>
  <c r="BN27" i="2"/>
  <c r="BO27" i="2"/>
  <c r="BP27" i="2"/>
  <c r="BQ27" i="2"/>
  <c r="BR27" i="2"/>
  <c r="BT27" i="2"/>
  <c r="BU27" i="2"/>
  <c r="BV27" i="2"/>
  <c r="BX27" i="2"/>
  <c r="BY27" i="2"/>
  <c r="BZ27" i="2"/>
  <c r="CA27" i="2"/>
  <c r="CB27" i="2"/>
  <c r="CC27" i="2"/>
  <c r="CD27" i="2"/>
  <c r="CE27" i="2"/>
  <c r="CF27" i="2"/>
  <c r="CG27" i="2"/>
  <c r="CH27" i="2"/>
  <c r="CI27" i="2"/>
  <c r="CJ27" i="2"/>
  <c r="CK27" i="2"/>
  <c r="CL27" i="2"/>
  <c r="CM27" i="2"/>
  <c r="E28" i="2"/>
  <c r="G28" i="2"/>
  <c r="H28" i="2"/>
  <c r="K28" i="2"/>
  <c r="L28" i="2"/>
  <c r="M28" i="2"/>
  <c r="O28" i="2"/>
  <c r="P28" i="2"/>
  <c r="Q28" i="2"/>
  <c r="R28" i="2"/>
  <c r="S28" i="2"/>
  <c r="T28" i="2"/>
  <c r="U28" i="2"/>
  <c r="V28" i="2"/>
  <c r="W28" i="2"/>
  <c r="X28" i="2"/>
  <c r="Y28" i="2"/>
  <c r="Z28" i="2"/>
  <c r="AA28" i="2"/>
  <c r="AB28" i="2"/>
  <c r="AC28" i="2"/>
  <c r="AD28" i="2"/>
  <c r="AE28" i="2"/>
  <c r="AF28" i="2"/>
  <c r="AG28" i="2"/>
  <c r="AH28" i="2"/>
  <c r="AI28" i="2"/>
  <c r="AJ28" i="2"/>
  <c r="AK28" i="2"/>
  <c r="AL28" i="2"/>
  <c r="AN28" i="2"/>
  <c r="AO28" i="2"/>
  <c r="AP28" i="2"/>
  <c r="AQ28" i="2"/>
  <c r="AR28" i="2"/>
  <c r="AS28" i="2"/>
  <c r="AT28" i="2"/>
  <c r="AU28" i="2"/>
  <c r="AV28" i="2"/>
  <c r="AW28" i="2"/>
  <c r="AX28" i="2"/>
  <c r="AY28" i="2"/>
  <c r="AZ28" i="2"/>
  <c r="BA28" i="2"/>
  <c r="BB28" i="2"/>
  <c r="BC28" i="2"/>
  <c r="BD28" i="2"/>
  <c r="BE28" i="2"/>
  <c r="BF28" i="2"/>
  <c r="BG28" i="2"/>
  <c r="BH28" i="2"/>
  <c r="BJ28" i="2"/>
  <c r="BK28" i="2"/>
  <c r="BL28" i="2"/>
  <c r="BM28" i="2"/>
  <c r="BN28" i="2"/>
  <c r="BO28" i="2"/>
  <c r="BP28" i="2"/>
  <c r="BQ28" i="2"/>
  <c r="BR28" i="2"/>
  <c r="BT28" i="2"/>
  <c r="BU28" i="2"/>
  <c r="BV28" i="2"/>
  <c r="BX28" i="2"/>
  <c r="BY28" i="2"/>
  <c r="BZ28" i="2"/>
  <c r="CA28" i="2"/>
  <c r="CB28" i="2"/>
  <c r="CC28" i="2"/>
  <c r="CD28" i="2"/>
  <c r="CE28" i="2"/>
  <c r="CF28" i="2"/>
  <c r="CG28" i="2"/>
  <c r="CH28" i="2"/>
  <c r="CI28" i="2"/>
  <c r="CJ28" i="2"/>
  <c r="CK28" i="2"/>
  <c r="CL28" i="2"/>
  <c r="CM28" i="2"/>
  <c r="E29" i="2"/>
  <c r="G29" i="2"/>
  <c r="H29" i="2"/>
  <c r="K29" i="2"/>
  <c r="L29" i="2"/>
  <c r="M29" i="2"/>
  <c r="O29" i="2"/>
  <c r="P29" i="2"/>
  <c r="Q29" i="2"/>
  <c r="R29" i="2"/>
  <c r="S29" i="2"/>
  <c r="T29" i="2"/>
  <c r="U29" i="2"/>
  <c r="V29" i="2"/>
  <c r="W29" i="2"/>
  <c r="X29" i="2"/>
  <c r="Y29" i="2"/>
  <c r="Z29" i="2"/>
  <c r="AA29" i="2"/>
  <c r="AB29" i="2"/>
  <c r="AC29" i="2"/>
  <c r="AD29" i="2"/>
  <c r="AF29" i="2"/>
  <c r="AG29" i="2"/>
  <c r="AH29" i="2"/>
  <c r="AI29" i="2"/>
  <c r="AJ29" i="2"/>
  <c r="AK29" i="2"/>
  <c r="AL29" i="2"/>
  <c r="AN29" i="2"/>
  <c r="AO29" i="2"/>
  <c r="AP29" i="2"/>
  <c r="AQ29" i="2"/>
  <c r="AR29" i="2"/>
  <c r="AS29" i="2"/>
  <c r="AT29" i="2"/>
  <c r="AU29" i="2"/>
  <c r="AV29" i="2"/>
  <c r="AW29" i="2"/>
  <c r="AX29" i="2"/>
  <c r="AY29" i="2"/>
  <c r="AZ29" i="2"/>
  <c r="BA29" i="2"/>
  <c r="BB29" i="2"/>
  <c r="BC29" i="2"/>
  <c r="BD29" i="2"/>
  <c r="BE29" i="2"/>
  <c r="BF29" i="2"/>
  <c r="BG29" i="2"/>
  <c r="BH29" i="2"/>
  <c r="BJ29" i="2"/>
  <c r="BL29" i="2"/>
  <c r="BM29" i="2"/>
  <c r="BN29" i="2"/>
  <c r="BO29" i="2"/>
  <c r="BP29" i="2"/>
  <c r="BQ29" i="2"/>
  <c r="BR29" i="2"/>
  <c r="BT29" i="2"/>
  <c r="BU29" i="2"/>
  <c r="BV29" i="2"/>
  <c r="BX29" i="2"/>
  <c r="BY29" i="2"/>
  <c r="BZ29" i="2"/>
  <c r="CA29" i="2"/>
  <c r="CB29" i="2"/>
  <c r="CC29" i="2"/>
  <c r="CD29" i="2"/>
  <c r="CE29" i="2"/>
  <c r="CG29" i="2"/>
  <c r="CH29" i="2"/>
  <c r="CI29" i="2"/>
  <c r="CJ29" i="2"/>
  <c r="CK29" i="2"/>
  <c r="CL29" i="2"/>
  <c r="CM29" i="2"/>
  <c r="E30" i="2"/>
  <c r="G30" i="2"/>
  <c r="H30" i="2"/>
  <c r="K30" i="2"/>
  <c r="L30" i="2"/>
  <c r="O30" i="2"/>
  <c r="P30" i="2"/>
  <c r="Q30" i="2"/>
  <c r="R30" i="2"/>
  <c r="S30" i="2"/>
  <c r="T30" i="2"/>
  <c r="U30" i="2"/>
  <c r="V30" i="2"/>
  <c r="W30" i="2"/>
  <c r="X30" i="2"/>
  <c r="Y30" i="2"/>
  <c r="Z30" i="2"/>
  <c r="AA30" i="2"/>
  <c r="AB30" i="2"/>
  <c r="AC30" i="2"/>
  <c r="AD30" i="2"/>
  <c r="AF30" i="2"/>
  <c r="AG30" i="2"/>
  <c r="AH30" i="2"/>
  <c r="AI30" i="2"/>
  <c r="AJ30" i="2"/>
  <c r="AK30" i="2"/>
  <c r="AL30" i="2"/>
  <c r="AN30" i="2"/>
  <c r="AO30" i="2"/>
  <c r="AP30" i="2"/>
  <c r="AQ30" i="2"/>
  <c r="AR30" i="2"/>
  <c r="AS30" i="2"/>
  <c r="AT30" i="2"/>
  <c r="AU30" i="2"/>
  <c r="AV30" i="2"/>
  <c r="AW30" i="2"/>
  <c r="AX30" i="2"/>
  <c r="AY30" i="2"/>
  <c r="AZ30" i="2"/>
  <c r="BA30" i="2"/>
  <c r="BB30" i="2"/>
  <c r="BC30" i="2"/>
  <c r="BD30" i="2"/>
  <c r="BE30" i="2"/>
  <c r="BF30" i="2"/>
  <c r="BG30" i="2"/>
  <c r="BH30" i="2"/>
  <c r="BJ30" i="2"/>
  <c r="BL30" i="2"/>
  <c r="BM30" i="2"/>
  <c r="BN30" i="2"/>
  <c r="BO30" i="2"/>
  <c r="BP30" i="2"/>
  <c r="BQ30" i="2"/>
  <c r="BR30" i="2"/>
  <c r="BT30" i="2"/>
  <c r="BU30" i="2"/>
  <c r="BV30" i="2"/>
  <c r="BX30" i="2"/>
  <c r="BY30" i="2"/>
  <c r="BZ30" i="2"/>
  <c r="CA30" i="2"/>
  <c r="CB30" i="2"/>
  <c r="CC30" i="2"/>
  <c r="CD30" i="2"/>
  <c r="CE30" i="2"/>
  <c r="CG30" i="2"/>
  <c r="CH30" i="2"/>
  <c r="CI30" i="2"/>
  <c r="CJ30" i="2"/>
  <c r="CK30" i="2"/>
  <c r="CL30" i="2"/>
  <c r="CM30" i="2"/>
  <c r="E31" i="2"/>
  <c r="G31" i="2"/>
  <c r="H31" i="2"/>
  <c r="K31" i="2"/>
  <c r="L31" i="2"/>
  <c r="O31" i="2"/>
  <c r="P31" i="2"/>
  <c r="Q31" i="2"/>
  <c r="R31" i="2"/>
  <c r="S31" i="2"/>
  <c r="T31" i="2"/>
  <c r="U31" i="2"/>
  <c r="V31" i="2"/>
  <c r="W31" i="2"/>
  <c r="X31" i="2"/>
  <c r="Y31" i="2"/>
  <c r="Z31" i="2"/>
  <c r="AA31" i="2"/>
  <c r="AB31" i="2"/>
  <c r="AC31" i="2"/>
  <c r="AD31" i="2"/>
  <c r="AE31" i="2"/>
  <c r="AF31" i="2"/>
  <c r="AG31" i="2"/>
  <c r="AH31" i="2"/>
  <c r="AI31" i="2"/>
  <c r="AJ31" i="2"/>
  <c r="AK31" i="2"/>
  <c r="AL31" i="2"/>
  <c r="AN31" i="2"/>
  <c r="AO31" i="2"/>
  <c r="AP31" i="2"/>
  <c r="AQ31" i="2"/>
  <c r="AR31" i="2"/>
  <c r="AS31" i="2"/>
  <c r="AT31" i="2"/>
  <c r="AU31" i="2"/>
  <c r="AV31" i="2"/>
  <c r="AW31" i="2"/>
  <c r="AX31" i="2"/>
  <c r="AY31" i="2"/>
  <c r="AZ31" i="2"/>
  <c r="BA31" i="2"/>
  <c r="BB31" i="2"/>
  <c r="BC31" i="2"/>
  <c r="BD31" i="2"/>
  <c r="BE31" i="2"/>
  <c r="BF31" i="2"/>
  <c r="BG31" i="2"/>
  <c r="BH31" i="2"/>
  <c r="BJ31" i="2"/>
  <c r="BK31" i="2"/>
  <c r="BL31" i="2"/>
  <c r="BM31" i="2"/>
  <c r="BN31" i="2"/>
  <c r="BO31" i="2"/>
  <c r="BP31" i="2"/>
  <c r="BQ31" i="2"/>
  <c r="BR31" i="2"/>
  <c r="BT31" i="2"/>
  <c r="BU31" i="2"/>
  <c r="BV31" i="2"/>
  <c r="BX31" i="2"/>
  <c r="BY31" i="2"/>
  <c r="BZ31" i="2"/>
  <c r="CA31" i="2"/>
  <c r="CB31" i="2"/>
  <c r="CC31" i="2"/>
  <c r="CD31" i="2"/>
  <c r="CE31" i="2"/>
  <c r="CF31" i="2"/>
  <c r="CG31" i="2"/>
  <c r="CH31" i="2"/>
  <c r="CI31" i="2"/>
  <c r="CJ31" i="2"/>
  <c r="CK31" i="2"/>
  <c r="CL31" i="2"/>
  <c r="CM31" i="2"/>
  <c r="E32" i="2"/>
  <c r="G32" i="2"/>
  <c r="H32" i="2"/>
  <c r="K32" i="2"/>
  <c r="L32" i="2"/>
  <c r="O32" i="2"/>
  <c r="P32" i="2"/>
  <c r="Q32" i="2"/>
  <c r="R32" i="2"/>
  <c r="S32" i="2"/>
  <c r="T32" i="2"/>
  <c r="U32" i="2"/>
  <c r="V32" i="2"/>
  <c r="W32" i="2"/>
  <c r="Y32" i="2"/>
  <c r="Z32" i="2"/>
  <c r="AA32" i="2"/>
  <c r="AB32" i="2"/>
  <c r="AC32" i="2"/>
  <c r="AD32" i="2"/>
  <c r="AF32" i="2"/>
  <c r="AG32" i="2"/>
  <c r="AH32" i="2"/>
  <c r="AI32" i="2"/>
  <c r="AJ32" i="2"/>
  <c r="AK32" i="2"/>
  <c r="AL32" i="2"/>
  <c r="AN32" i="2"/>
  <c r="AO32" i="2"/>
  <c r="AP32" i="2"/>
  <c r="AQ32" i="2"/>
  <c r="AR32" i="2"/>
  <c r="AS32" i="2"/>
  <c r="AT32" i="2"/>
  <c r="AV32" i="2"/>
  <c r="AW32" i="2"/>
  <c r="AX32" i="2"/>
  <c r="AY32" i="2"/>
  <c r="AZ32" i="2"/>
  <c r="BA32" i="2"/>
  <c r="BB32" i="2"/>
  <c r="BC32" i="2"/>
  <c r="BD32" i="2"/>
  <c r="BF32" i="2"/>
  <c r="BG32" i="2"/>
  <c r="BH32" i="2"/>
  <c r="BJ32" i="2"/>
  <c r="BK32" i="2"/>
  <c r="BL32" i="2"/>
  <c r="BN32" i="2"/>
  <c r="BO32" i="2"/>
  <c r="BP32" i="2"/>
  <c r="BQ32" i="2"/>
  <c r="BR32" i="2"/>
  <c r="BS32" i="2"/>
  <c r="BT32" i="2"/>
  <c r="BU32" i="2"/>
  <c r="BV32" i="2"/>
  <c r="BX32" i="2"/>
  <c r="BY32" i="2"/>
  <c r="BZ32" i="2"/>
  <c r="CA32" i="2"/>
  <c r="CB32" i="2"/>
  <c r="CC32" i="2"/>
  <c r="CD32" i="2"/>
  <c r="CE32" i="2"/>
  <c r="CF32" i="2"/>
  <c r="CG32" i="2"/>
  <c r="CH32" i="2"/>
  <c r="CI32" i="2"/>
  <c r="CJ32" i="2"/>
  <c r="CL32" i="2"/>
  <c r="E33" i="2"/>
  <c r="G33" i="2"/>
  <c r="H33" i="2"/>
  <c r="K33" i="2"/>
  <c r="L33" i="2"/>
  <c r="O33" i="2"/>
  <c r="P33" i="2"/>
  <c r="Q33" i="2"/>
  <c r="R33" i="2"/>
  <c r="S33" i="2"/>
  <c r="T33" i="2"/>
  <c r="U33" i="2"/>
  <c r="V33" i="2"/>
  <c r="W33" i="2"/>
  <c r="Y33" i="2"/>
  <c r="Z33" i="2"/>
  <c r="AA33" i="2"/>
  <c r="AB33" i="2"/>
  <c r="AC33" i="2"/>
  <c r="AD33" i="2"/>
  <c r="AF33" i="2"/>
  <c r="AG33" i="2"/>
  <c r="AH33" i="2"/>
  <c r="AI33" i="2"/>
  <c r="AJ33" i="2"/>
  <c r="AK33" i="2"/>
  <c r="AL33" i="2"/>
  <c r="AN33" i="2"/>
  <c r="AO33" i="2"/>
  <c r="AP33" i="2"/>
  <c r="AQ33" i="2"/>
  <c r="AR33" i="2"/>
  <c r="AS33" i="2"/>
  <c r="AT33" i="2"/>
  <c r="AW33" i="2"/>
  <c r="AX33" i="2"/>
  <c r="AY33" i="2"/>
  <c r="AZ33" i="2"/>
  <c r="BA33" i="2"/>
  <c r="BB33" i="2"/>
  <c r="BC33" i="2"/>
  <c r="BD33" i="2"/>
  <c r="BF33" i="2"/>
  <c r="BH33" i="2"/>
  <c r="BI33" i="2"/>
  <c r="BJ33" i="2"/>
  <c r="BK33" i="2"/>
  <c r="BL33" i="2"/>
  <c r="BN33" i="2"/>
  <c r="BO33" i="2"/>
  <c r="BP33" i="2"/>
  <c r="BQ33" i="2"/>
  <c r="BR33" i="2"/>
  <c r="BT33" i="2"/>
  <c r="BU33" i="2"/>
  <c r="BV33" i="2"/>
  <c r="BW33" i="2"/>
  <c r="BX33" i="2"/>
  <c r="BY33" i="2"/>
  <c r="BZ33" i="2"/>
  <c r="CA33" i="2"/>
  <c r="CB33" i="2"/>
  <c r="CD33" i="2"/>
  <c r="CE33" i="2"/>
  <c r="CF33" i="2"/>
  <c r="CG33" i="2"/>
  <c r="CH33" i="2"/>
  <c r="CI33" i="2"/>
  <c r="CJ33" i="2"/>
  <c r="CL33" i="2"/>
  <c r="CJ21" i="1"/>
  <c r="CL21" i="2" s="1"/>
  <c r="R4" i="8"/>
  <c r="T4" i="8"/>
  <c r="W4" i="8"/>
  <c r="AA4" i="8"/>
  <c r="AB4" i="8"/>
  <c r="AI4" i="8"/>
  <c r="AN4" i="8"/>
  <c r="AQ4" i="8"/>
  <c r="AV4" i="8"/>
  <c r="AY4" i="8"/>
  <c r="AZ4" i="8"/>
  <c r="BG4" i="8"/>
  <c r="BH4" i="8"/>
  <c r="BO4" i="8"/>
  <c r="BT4" i="8"/>
  <c r="BW4" i="8"/>
  <c r="CB4" i="8"/>
  <c r="CE4" i="8"/>
  <c r="CF4" i="8"/>
  <c r="AY2" i="8"/>
  <c r="BB2" i="8"/>
  <c r="BF2" i="8"/>
  <c r="BG2" i="8"/>
  <c r="BJ2" i="8"/>
  <c r="BN2" i="8"/>
  <c r="BO2" i="8"/>
  <c r="BR2" i="8"/>
  <c r="BV2" i="8"/>
  <c r="BW2" i="8"/>
  <c r="BZ2" i="8"/>
  <c r="CD2" i="8"/>
  <c r="CE2" i="8"/>
  <c r="CH2" i="8"/>
  <c r="CL2" i="8"/>
  <c r="D4" i="8"/>
  <c r="K4" i="8"/>
  <c r="N4" i="8"/>
  <c r="P4" i="8"/>
  <c r="I3" i="6"/>
  <c r="I4" i="6"/>
  <c r="I5" i="6"/>
  <c r="I6" i="6"/>
  <c r="I7" i="6"/>
  <c r="I8" i="6"/>
  <c r="I9" i="6"/>
  <c r="I10" i="6"/>
  <c r="I11" i="6"/>
  <c r="I12" i="6"/>
  <c r="I13" i="6"/>
  <c r="I14" i="6"/>
  <c r="I15" i="6"/>
  <c r="I16" i="6"/>
  <c r="I17" i="6"/>
  <c r="I18" i="6"/>
  <c r="I19" i="6"/>
  <c r="I20" i="6"/>
  <c r="I21" i="6"/>
  <c r="I22" i="6"/>
  <c r="I23" i="6"/>
  <c r="I24" i="6"/>
  <c r="I25" i="6"/>
  <c r="I26" i="6"/>
  <c r="I27" i="6"/>
  <c r="I28" i="6"/>
  <c r="I29" i="6"/>
  <c r="I30" i="6"/>
  <c r="I31" i="6"/>
  <c r="I32" i="6"/>
  <c r="I33" i="6"/>
  <c r="I34" i="6"/>
  <c r="I35" i="6"/>
  <c r="I36" i="6"/>
  <c r="I37" i="6"/>
  <c r="I38" i="6"/>
  <c r="I39" i="6"/>
  <c r="I40" i="6"/>
  <c r="I41" i="6"/>
  <c r="I42" i="6"/>
  <c r="I43" i="6"/>
  <c r="I44" i="6"/>
  <c r="I45" i="6"/>
  <c r="I46" i="6"/>
  <c r="I47" i="6"/>
  <c r="I48" i="6"/>
  <c r="I49" i="6"/>
  <c r="I50" i="6"/>
  <c r="I51" i="6"/>
  <c r="I52" i="6"/>
  <c r="I53" i="6"/>
  <c r="I54" i="6"/>
  <c r="I55" i="6"/>
  <c r="I56" i="6"/>
  <c r="I57" i="6"/>
  <c r="I58" i="6"/>
  <c r="I59" i="6"/>
  <c r="I60" i="6"/>
  <c r="I61" i="6"/>
  <c r="I62" i="6"/>
  <c r="I63" i="6"/>
  <c r="I64" i="6"/>
  <c r="I65" i="6"/>
  <c r="I66" i="6"/>
  <c r="I67" i="6"/>
  <c r="I68" i="6"/>
  <c r="I69" i="6"/>
  <c r="I70" i="6"/>
  <c r="I71" i="6"/>
  <c r="I72" i="6"/>
  <c r="I73" i="6"/>
  <c r="I74" i="6"/>
  <c r="I75" i="6"/>
  <c r="I76" i="6"/>
  <c r="I77" i="6"/>
  <c r="I78" i="6"/>
  <c r="I79" i="6"/>
  <c r="I80" i="6"/>
  <c r="I81" i="6"/>
  <c r="I82" i="6"/>
  <c r="I83" i="6"/>
  <c r="I84" i="6"/>
  <c r="I85" i="6"/>
  <c r="I86" i="6"/>
  <c r="I87" i="6"/>
  <c r="I88" i="6"/>
  <c r="I89" i="6"/>
  <c r="I90" i="6"/>
  <c r="I91" i="6"/>
  <c r="I92" i="6"/>
  <c r="I93" i="6"/>
  <c r="I94" i="6"/>
  <c r="I95" i="6"/>
  <c r="I96" i="6"/>
  <c r="I97" i="6"/>
  <c r="I98" i="6"/>
  <c r="I99" i="6"/>
  <c r="I100" i="6"/>
  <c r="I101" i="6"/>
  <c r="I102" i="6"/>
  <c r="I103" i="6"/>
  <c r="I104" i="6"/>
  <c r="I105" i="6"/>
  <c r="I106" i="6"/>
  <c r="I107" i="6"/>
  <c r="I108" i="6"/>
  <c r="I109" i="6"/>
  <c r="I110" i="6"/>
  <c r="I111" i="6"/>
  <c r="I112" i="6"/>
  <c r="I113" i="6"/>
  <c r="I114" i="6"/>
  <c r="I115" i="6"/>
  <c r="I116" i="6"/>
  <c r="I117" i="6"/>
  <c r="I118" i="6"/>
  <c r="I119" i="6"/>
  <c r="I120" i="6"/>
  <c r="I121" i="6"/>
  <c r="I122" i="6"/>
  <c r="I123" i="6"/>
  <c r="I124" i="6"/>
  <c r="I125" i="6"/>
  <c r="I126" i="6"/>
  <c r="I127" i="6"/>
  <c r="I128" i="6"/>
  <c r="I129" i="6"/>
  <c r="I130" i="6"/>
  <c r="I131" i="6"/>
  <c r="I132" i="6"/>
  <c r="I133" i="6"/>
  <c r="I134" i="6"/>
  <c r="I135" i="6"/>
  <c r="I136" i="6"/>
  <c r="I137" i="6"/>
  <c r="I138" i="6"/>
  <c r="I139" i="6"/>
  <c r="I140" i="6"/>
  <c r="I141" i="6"/>
  <c r="I142" i="6"/>
  <c r="I143" i="6"/>
  <c r="I144" i="6"/>
  <c r="I145" i="6"/>
  <c r="I146" i="6"/>
  <c r="I147" i="6"/>
  <c r="I148" i="6"/>
  <c r="I149" i="6"/>
  <c r="I150" i="6"/>
  <c r="I151" i="6"/>
  <c r="I152" i="6"/>
  <c r="I153" i="6"/>
  <c r="I154" i="6"/>
  <c r="I155" i="6"/>
  <c r="I156" i="6"/>
  <c r="I157" i="6"/>
  <c r="I158" i="6"/>
  <c r="I159" i="6"/>
  <c r="I160" i="6"/>
  <c r="I161" i="6"/>
  <c r="I162" i="6"/>
  <c r="I163" i="6"/>
  <c r="I164" i="6"/>
  <c r="I165" i="6"/>
  <c r="I166" i="6"/>
  <c r="I167" i="6"/>
  <c r="I168" i="6"/>
  <c r="I169" i="6"/>
  <c r="I170" i="6"/>
  <c r="I171" i="6"/>
  <c r="I172" i="6"/>
  <c r="I173" i="6"/>
  <c r="I174" i="6"/>
  <c r="I175" i="6"/>
  <c r="I176" i="6"/>
  <c r="I2" i="6"/>
  <c r="H2" i="6"/>
  <c r="J2" i="6" s="1"/>
  <c r="AX7" i="29" l="1"/>
  <c r="AX10" i="29"/>
  <c r="AX9" i="29"/>
  <c r="AX8" i="29"/>
  <c r="CK2" i="8"/>
  <c r="CK2" i="33"/>
  <c r="CK3" i="33" s="1"/>
  <c r="CC2" i="8"/>
  <c r="CC2" i="33"/>
  <c r="CC3" i="33" s="1"/>
  <c r="BU2" i="8"/>
  <c r="BU2" i="33"/>
  <c r="BU3" i="33" s="1"/>
  <c r="BQ2" i="8"/>
  <c r="BQ2" i="33"/>
  <c r="BQ3" i="33" s="1"/>
  <c r="BI2" i="8"/>
  <c r="BI2" i="33"/>
  <c r="BI3" i="33" s="1"/>
  <c r="BE2" i="8"/>
  <c r="BE2" i="33"/>
  <c r="BE3" i="33" s="1"/>
  <c r="BA2" i="8"/>
  <c r="BA2" i="33"/>
  <c r="BA3" i="33" s="1"/>
  <c r="CG2" i="8"/>
  <c r="CG2" i="33"/>
  <c r="CG3" i="33" s="1"/>
  <c r="BY2" i="8"/>
  <c r="BY2" i="33"/>
  <c r="BY3" i="33" s="1"/>
  <c r="BM2" i="8"/>
  <c r="BM2" i="33"/>
  <c r="BM3" i="33" s="1"/>
  <c r="CJ2" i="8"/>
  <c r="CJ2" i="33"/>
  <c r="CJ3" i="33" s="1"/>
  <c r="CB2" i="8"/>
  <c r="CB2" i="33"/>
  <c r="CB3" i="33" s="1"/>
  <c r="BP2" i="8"/>
  <c r="BP2" i="33"/>
  <c r="BP3" i="33" s="1"/>
  <c r="BT2" i="8"/>
  <c r="BL2" i="8"/>
  <c r="CI2" i="8"/>
  <c r="CI2" i="33"/>
  <c r="CI3" i="33" s="1"/>
  <c r="CA2" i="8"/>
  <c r="CA2" i="33"/>
  <c r="CA3" i="33" s="1"/>
  <c r="BS2" i="8"/>
  <c r="BS2" i="33"/>
  <c r="BS3" i="33" s="1"/>
  <c r="BK2" i="8"/>
  <c r="BK2" i="33"/>
  <c r="BK3" i="33" s="1"/>
  <c r="BC2" i="8"/>
  <c r="BC2" i="33"/>
  <c r="BC3" i="33" s="1"/>
  <c r="BH2" i="8"/>
  <c r="BH2" i="33"/>
  <c r="BH3" i="33" s="1"/>
  <c r="BD2" i="8"/>
  <c r="BD2" i="33"/>
  <c r="BD3" i="33" s="1"/>
  <c r="CF2" i="8"/>
  <c r="BX2" i="8"/>
  <c r="AZ2" i="8"/>
  <c r="CL2" i="3"/>
  <c r="CL2" i="33"/>
  <c r="CL3" i="33" s="1"/>
  <c r="CL1" i="3"/>
  <c r="CL1" i="33"/>
  <c r="CL8" i="33" s="1"/>
  <c r="CL22" i="2"/>
  <c r="CJ21" i="2"/>
  <c r="E1" i="8"/>
  <c r="AW2" i="8"/>
  <c r="AU2" i="8"/>
  <c r="AS2" i="8"/>
  <c r="AQ2" i="8"/>
  <c r="AO2" i="8"/>
  <c r="AM2" i="8"/>
  <c r="AK2" i="8"/>
  <c r="AI2" i="8"/>
  <c r="AG2" i="8"/>
  <c r="AE2" i="8"/>
  <c r="AC2" i="8"/>
  <c r="AA2" i="8"/>
  <c r="Y2" i="8"/>
  <c r="W2" i="8"/>
  <c r="U2" i="8"/>
  <c r="S2" i="8"/>
  <c r="CK1" i="8"/>
  <c r="CI1" i="8"/>
  <c r="CG1" i="8"/>
  <c r="CE1" i="8"/>
  <c r="CC1" i="8"/>
  <c r="CA1" i="8"/>
  <c r="BY1" i="8"/>
  <c r="BW1" i="8"/>
  <c r="BU1" i="8"/>
  <c r="BS1" i="8"/>
  <c r="BQ1" i="8"/>
  <c r="BO1" i="8"/>
  <c r="BM1" i="8"/>
  <c r="BK1" i="8"/>
  <c r="BI1" i="8"/>
  <c r="BG1" i="8"/>
  <c r="BE1" i="8"/>
  <c r="BC1" i="8"/>
  <c r="BA1" i="8"/>
  <c r="AY1" i="8"/>
  <c r="AW1" i="8"/>
  <c r="AU1" i="8"/>
  <c r="AS1" i="8"/>
  <c r="AQ1" i="8"/>
  <c r="AO1" i="8"/>
  <c r="AM1" i="8"/>
  <c r="AK1" i="8"/>
  <c r="AI1" i="8"/>
  <c r="AG1" i="8"/>
  <c r="AE1" i="8"/>
  <c r="AC1" i="8"/>
  <c r="AA1" i="8"/>
  <c r="Y1" i="8"/>
  <c r="W1" i="8"/>
  <c r="U1" i="8"/>
  <c r="S1" i="8"/>
  <c r="Q2" i="8"/>
  <c r="O2" i="8"/>
  <c r="M2" i="8"/>
  <c r="K2" i="8"/>
  <c r="I2" i="8"/>
  <c r="G2" i="8"/>
  <c r="E2" i="8"/>
  <c r="Q1" i="8"/>
  <c r="O1" i="8"/>
  <c r="M1" i="8"/>
  <c r="K1" i="8"/>
  <c r="I1" i="8"/>
  <c r="G1" i="8"/>
  <c r="P2" i="8"/>
  <c r="N2" i="8"/>
  <c r="L2" i="8"/>
  <c r="J2" i="8"/>
  <c r="H2" i="8"/>
  <c r="F2" i="8"/>
  <c r="D2" i="8"/>
  <c r="P1" i="8"/>
  <c r="N1" i="8"/>
  <c r="L1" i="8"/>
  <c r="J1" i="8"/>
  <c r="H1" i="8"/>
  <c r="F1" i="8"/>
  <c r="D1" i="8"/>
  <c r="AX2" i="8"/>
  <c r="AV2" i="8"/>
  <c r="AT2" i="8"/>
  <c r="AR2" i="8"/>
  <c r="AP2" i="8"/>
  <c r="AN2" i="8"/>
  <c r="AL2" i="8"/>
  <c r="AJ2" i="8"/>
  <c r="AH2" i="8"/>
  <c r="AF2" i="8"/>
  <c r="AD2" i="8"/>
  <c r="AB2" i="8"/>
  <c r="Z2" i="8"/>
  <c r="X2" i="8"/>
  <c r="V2" i="8"/>
  <c r="T2" i="8"/>
  <c r="R2" i="8"/>
  <c r="CL1" i="8"/>
  <c r="CJ1" i="8"/>
  <c r="CH1" i="8"/>
  <c r="CF1" i="8"/>
  <c r="CD1" i="8"/>
  <c r="CB1" i="8"/>
  <c r="BZ1" i="8"/>
  <c r="BX1" i="8"/>
  <c r="BV1" i="8"/>
  <c r="BT1" i="8"/>
  <c r="BR1" i="8"/>
  <c r="BP1" i="8"/>
  <c r="BN1" i="8"/>
  <c r="BL1" i="8"/>
  <c r="BJ1" i="8"/>
  <c r="BH1" i="8"/>
  <c r="BF1" i="8"/>
  <c r="BD1" i="8"/>
  <c r="BB1" i="8"/>
  <c r="AZ1" i="8"/>
  <c r="AX1" i="8"/>
  <c r="AV1" i="8"/>
  <c r="AT1" i="8"/>
  <c r="AR1" i="8"/>
  <c r="AP1" i="8"/>
  <c r="AN1" i="8"/>
  <c r="AL1" i="8"/>
  <c r="AJ1" i="8"/>
  <c r="AH1" i="8"/>
  <c r="AF1" i="8"/>
  <c r="AD1" i="8"/>
  <c r="AB1" i="8"/>
  <c r="Z1" i="8"/>
  <c r="X1" i="8"/>
  <c r="V1" i="8"/>
  <c r="T1" i="8"/>
  <c r="R1" i="8"/>
  <c r="K2" i="6"/>
  <c r="BX1" i="26"/>
  <c r="BY1" i="26"/>
  <c r="BZ1" i="26"/>
  <c r="CA1" i="26"/>
  <c r="CB1" i="26"/>
  <c r="CC1" i="26"/>
  <c r="CD1" i="26"/>
  <c r="CE1" i="26"/>
  <c r="CF1" i="26"/>
  <c r="CG1" i="26"/>
  <c r="CH1" i="26"/>
  <c r="CI1" i="26"/>
  <c r="CJ1" i="26"/>
  <c r="CK1" i="26"/>
  <c r="BX2" i="26"/>
  <c r="BY2" i="26"/>
  <c r="BZ2" i="26"/>
  <c r="CA2" i="26"/>
  <c r="CB2" i="26"/>
  <c r="CC2" i="26"/>
  <c r="CD2" i="26"/>
  <c r="CE2" i="26"/>
  <c r="CF2" i="26"/>
  <c r="CG2" i="26"/>
  <c r="CH2" i="26"/>
  <c r="CI2" i="26"/>
  <c r="CJ2" i="26"/>
  <c r="CK2" i="26"/>
  <c r="BL1" i="26"/>
  <c r="BM1" i="26"/>
  <c r="BN1" i="26"/>
  <c r="BO1" i="26"/>
  <c r="BP1" i="26"/>
  <c r="BQ1" i="26"/>
  <c r="BR1" i="26"/>
  <c r="BS1" i="26"/>
  <c r="BT1" i="26"/>
  <c r="BU1" i="26"/>
  <c r="BV1" i="26"/>
  <c r="BW1" i="26"/>
  <c r="BL2" i="26"/>
  <c r="BM2" i="26"/>
  <c r="BN2" i="26"/>
  <c r="BO2" i="26"/>
  <c r="BP2" i="26"/>
  <c r="BQ2" i="26"/>
  <c r="BR2" i="26"/>
  <c r="BS2" i="26"/>
  <c r="BT2" i="26"/>
  <c r="BU2" i="26"/>
  <c r="BV2" i="26"/>
  <c r="BW2" i="26"/>
  <c r="BJ1" i="26"/>
  <c r="BK1" i="26"/>
  <c r="BJ2" i="26"/>
  <c r="BK2" i="26"/>
  <c r="H1" i="3"/>
  <c r="I1" i="3"/>
  <c r="J1" i="3"/>
  <c r="K1" i="3"/>
  <c r="L1" i="3"/>
  <c r="M1" i="3"/>
  <c r="N1" i="3"/>
  <c r="O1" i="3"/>
  <c r="P1" i="3"/>
  <c r="Q1" i="3"/>
  <c r="R1" i="3"/>
  <c r="S1" i="3"/>
  <c r="T1" i="3"/>
  <c r="U1" i="3"/>
  <c r="V1" i="3"/>
  <c r="W1" i="3"/>
  <c r="X1" i="3"/>
  <c r="Y1" i="3"/>
  <c r="Z1" i="3"/>
  <c r="AA1" i="3"/>
  <c r="AB1" i="3"/>
  <c r="AC1" i="3"/>
  <c r="AD1" i="3"/>
  <c r="AE1" i="3"/>
  <c r="AF1" i="3"/>
  <c r="AG1" i="3"/>
  <c r="AH1" i="3"/>
  <c r="AI1" i="3"/>
  <c r="AJ1" i="3"/>
  <c r="AK1" i="3"/>
  <c r="AL1" i="3"/>
  <c r="AM1" i="3"/>
  <c r="AN1" i="3"/>
  <c r="AO1" i="3"/>
  <c r="AP1" i="3"/>
  <c r="AQ1" i="3"/>
  <c r="AR1" i="3"/>
  <c r="AS1" i="3"/>
  <c r="AT1" i="3"/>
  <c r="AU1" i="3"/>
  <c r="AV1" i="3"/>
  <c r="AW1" i="3"/>
  <c r="AX1" i="3"/>
  <c r="AY1" i="3"/>
  <c r="AZ1" i="3"/>
  <c r="BA1" i="3"/>
  <c r="BB1" i="3"/>
  <c r="BC1" i="3"/>
  <c r="BD1" i="3"/>
  <c r="BE1" i="3"/>
  <c r="BF1" i="3"/>
  <c r="BG1" i="3"/>
  <c r="BH1" i="3"/>
  <c r="BI1" i="3"/>
  <c r="BJ1" i="3"/>
  <c r="BK1" i="3"/>
  <c r="BL1" i="3"/>
  <c r="BM1" i="3"/>
  <c r="BN1" i="3"/>
  <c r="BO1" i="3"/>
  <c r="BP1" i="3"/>
  <c r="BQ1" i="3"/>
  <c r="BR1" i="3"/>
  <c r="BS1" i="3"/>
  <c r="BT1" i="3"/>
  <c r="BU1" i="3"/>
  <c r="BV1" i="3"/>
  <c r="BW1" i="3"/>
  <c r="BX1" i="3"/>
  <c r="BY1" i="3"/>
  <c r="BZ1" i="3"/>
  <c r="CA1" i="3"/>
  <c r="CB1" i="3"/>
  <c r="CC1" i="3"/>
  <c r="CD1" i="3"/>
  <c r="CE1" i="3"/>
  <c r="CF1" i="3"/>
  <c r="CG1" i="3"/>
  <c r="CH1" i="3"/>
  <c r="CI1" i="3"/>
  <c r="CJ1" i="3"/>
  <c r="CK1" i="3"/>
  <c r="H2" i="3"/>
  <c r="K2" i="3"/>
  <c r="M2" i="3"/>
  <c r="N2" i="3"/>
  <c r="O2" i="3"/>
  <c r="Q2" i="3"/>
  <c r="R2" i="3"/>
  <c r="T2" i="3"/>
  <c r="U2" i="3"/>
  <c r="V2" i="3"/>
  <c r="W2" i="3"/>
  <c r="Y2" i="3"/>
  <c r="AA2" i="3"/>
  <c r="AB2" i="3"/>
  <c r="AC2" i="3"/>
  <c r="AD2" i="3"/>
  <c r="AF2" i="3"/>
  <c r="AH2" i="3"/>
  <c r="AJ2" i="3"/>
  <c r="AK2" i="3"/>
  <c r="AL2" i="3"/>
  <c r="AM2" i="3"/>
  <c r="AN2" i="3"/>
  <c r="AO2" i="3"/>
  <c r="AQ2" i="3"/>
  <c r="AR2" i="3"/>
  <c r="AT2" i="3"/>
  <c r="AU2" i="3"/>
  <c r="AV2" i="3"/>
  <c r="AW2" i="3"/>
  <c r="AX2" i="3"/>
  <c r="AY2" i="3"/>
  <c r="AZ2" i="3"/>
  <c r="BA2" i="3"/>
  <c r="BB2" i="3"/>
  <c r="BC2" i="3"/>
  <c r="BD2" i="3"/>
  <c r="BE2" i="3"/>
  <c r="BG2" i="3"/>
  <c r="BH2" i="3"/>
  <c r="BI2" i="3"/>
  <c r="BJ2" i="3"/>
  <c r="BK2" i="3"/>
  <c r="BL2" i="3"/>
  <c r="BM2" i="3"/>
  <c r="BN2" i="3"/>
  <c r="BO2" i="3"/>
  <c r="BP2" i="3"/>
  <c r="BS2" i="3"/>
  <c r="BT2" i="3"/>
  <c r="BU2" i="3"/>
  <c r="BV2" i="3"/>
  <c r="BW2" i="3"/>
  <c r="BX2" i="3"/>
  <c r="BY2" i="3"/>
  <c r="BZ2" i="3"/>
  <c r="CA2" i="3"/>
  <c r="CC2" i="3"/>
  <c r="CD2" i="3"/>
  <c r="CE2" i="3"/>
  <c r="CF2" i="3"/>
  <c r="CI2" i="3"/>
  <c r="CK2" i="3"/>
  <c r="D1" i="3"/>
  <c r="E1" i="3"/>
  <c r="F1" i="3"/>
  <c r="G1" i="3"/>
  <c r="E2" i="3"/>
  <c r="F2" i="3"/>
  <c r="G2" i="3"/>
  <c r="CK32" i="1" l="1"/>
  <c r="CL15" i="1"/>
  <c r="CI15" i="1"/>
  <c r="CI15" i="2" s="1"/>
  <c r="CH15" i="1"/>
  <c r="BZ15" i="1"/>
  <c r="BZ15" i="2" s="1"/>
  <c r="CC15" i="1"/>
  <c r="CB15" i="1"/>
  <c r="CC21" i="1"/>
  <c r="CB23" i="1"/>
  <c r="BZ21" i="1"/>
  <c r="BW25" i="1"/>
  <c r="BW21" i="1"/>
  <c r="BV21" i="1"/>
  <c r="BV13" i="1"/>
  <c r="AX14" i="1"/>
  <c r="AX14" i="2" s="1"/>
  <c r="BH21" i="2" l="1"/>
  <c r="BH22" i="2"/>
  <c r="CJ23" i="2"/>
  <c r="CJ22" i="2"/>
  <c r="BI21" i="2"/>
  <c r="BI22" i="2"/>
  <c r="BM15" i="2"/>
  <c r="BW25" i="2"/>
  <c r="BI25" i="2"/>
  <c r="CJ15" i="2"/>
  <c r="BV13" i="2"/>
  <c r="BH13" i="2"/>
  <c r="AH21" i="2"/>
  <c r="AH22" i="2"/>
  <c r="BL15" i="2"/>
  <c r="CL15" i="2"/>
  <c r="BN15" i="2"/>
  <c r="CM33" i="2"/>
  <c r="CM32" i="2"/>
  <c r="BW21" i="2"/>
  <c r="BW22" i="2"/>
  <c r="CC21" i="2"/>
  <c r="CC22" i="2"/>
  <c r="BZ21" i="2"/>
  <c r="BZ22" i="2"/>
  <c r="BV21" i="2"/>
  <c r="BV22" i="2"/>
  <c r="CB22" i="2"/>
  <c r="CB23" i="2"/>
  <c r="CK32" i="2"/>
  <c r="CK33" i="2"/>
  <c r="BV14" i="1"/>
  <c r="BW26" i="1"/>
  <c r="AX15" i="1"/>
  <c r="D51" i="8"/>
  <c r="C51" i="8"/>
  <c r="E50" i="8"/>
  <c r="E51" i="8" s="1"/>
  <c r="D37" i="1"/>
  <c r="CN1" i="26"/>
  <c r="CO1" i="26" s="1"/>
  <c r="CP1" i="26" s="1"/>
  <c r="CQ1" i="26" s="1"/>
  <c r="CR1" i="26" s="1"/>
  <c r="CS1" i="26" s="1"/>
  <c r="CT1" i="26" s="1"/>
  <c r="CU1" i="26" s="1"/>
  <c r="CV1" i="26" s="1"/>
  <c r="CW1" i="26" s="1"/>
  <c r="CX1" i="26" s="1"/>
  <c r="CY1" i="26" s="1"/>
  <c r="CZ1" i="26" s="1"/>
  <c r="DA1" i="26" s="1"/>
  <c r="DB1" i="26" s="1"/>
  <c r="DC1" i="26" s="1"/>
  <c r="DD1" i="26" s="1"/>
  <c r="DE1" i="26" s="1"/>
  <c r="DF1" i="26" s="1"/>
  <c r="DG1" i="26" s="1"/>
  <c r="DH1" i="26" s="1"/>
  <c r="DI1" i="26" s="1"/>
  <c r="DJ1" i="26" s="1"/>
  <c r="DK1" i="26" s="1"/>
  <c r="DL1" i="26" s="1"/>
  <c r="DM1" i="26" s="1"/>
  <c r="DN1" i="26" s="1"/>
  <c r="DO1" i="26" s="1"/>
  <c r="DP1" i="26" s="1"/>
  <c r="DQ1" i="26" s="1"/>
  <c r="CD37" i="1"/>
  <c r="BE27" i="21"/>
  <c r="BE28" i="21" s="1"/>
  <c r="BZ37" i="1"/>
  <c r="CA37" i="1"/>
  <c r="CB37" i="1"/>
  <c r="CC37" i="1"/>
  <c r="CE37" i="1"/>
  <c r="CF37" i="1"/>
  <c r="CG37" i="1"/>
  <c r="CH37" i="1"/>
  <c r="CI37" i="1"/>
  <c r="CJ37" i="1"/>
  <c r="CK37" i="1"/>
  <c r="CL37" i="1"/>
  <c r="CM37" i="1"/>
  <c r="BZ38" i="1"/>
  <c r="CA38" i="1"/>
  <c r="CB38" i="1"/>
  <c r="CC38" i="1"/>
  <c r="CD38" i="1"/>
  <c r="CE38" i="1"/>
  <c r="CF38" i="1"/>
  <c r="CG38" i="1"/>
  <c r="CH38" i="1"/>
  <c r="CI38" i="1"/>
  <c r="CJ38" i="1"/>
  <c r="CK38" i="1"/>
  <c r="CL38" i="1"/>
  <c r="CM38" i="1"/>
  <c r="BZ11" i="29"/>
  <c r="CA11" i="29"/>
  <c r="CB11" i="29"/>
  <c r="CC11" i="29"/>
  <c r="CD11" i="29"/>
  <c r="CE11" i="29"/>
  <c r="CF11" i="29"/>
  <c r="CG11" i="29"/>
  <c r="CH11" i="29"/>
  <c r="CI11" i="29"/>
  <c r="CJ11" i="29"/>
  <c r="CK11" i="29"/>
  <c r="CL11" i="29"/>
  <c r="CM11" i="29"/>
  <c r="BV37" i="1"/>
  <c r="BW37" i="1"/>
  <c r="BX37" i="1"/>
  <c r="BY37" i="1"/>
  <c r="BV38" i="1"/>
  <c r="BW38" i="1"/>
  <c r="BX38" i="1"/>
  <c r="BY38" i="1"/>
  <c r="BV11" i="29"/>
  <c r="BW11" i="29"/>
  <c r="BX11" i="29"/>
  <c r="BY11" i="29"/>
  <c r="E9" i="9"/>
  <c r="CJ10" i="29" l="1"/>
  <c r="CJ8" i="29"/>
  <c r="CJ7" i="29"/>
  <c r="CJ9" i="29"/>
  <c r="CB10" i="29"/>
  <c r="CB7" i="29"/>
  <c r="CB9" i="29"/>
  <c r="CB8" i="29"/>
  <c r="CM9" i="29"/>
  <c r="CM8" i="29"/>
  <c r="CM10" i="29"/>
  <c r="CM7" i="29"/>
  <c r="CE8" i="29"/>
  <c r="CE7" i="29"/>
  <c r="CE9" i="29"/>
  <c r="CE10" i="29"/>
  <c r="BW8" i="29"/>
  <c r="BW7" i="29"/>
  <c r="BW9" i="29"/>
  <c r="BW10" i="29"/>
  <c r="CK10" i="29"/>
  <c r="CK9" i="29"/>
  <c r="CK7" i="29"/>
  <c r="CK8" i="29"/>
  <c r="CG7" i="29"/>
  <c r="CG9" i="29"/>
  <c r="CG10" i="29"/>
  <c r="CG8" i="29"/>
  <c r="CC10" i="29"/>
  <c r="CC9" i="29"/>
  <c r="CC7" i="29"/>
  <c r="CC8" i="29"/>
  <c r="BV7" i="29"/>
  <c r="BV10" i="29"/>
  <c r="BV8" i="29"/>
  <c r="BV9" i="29"/>
  <c r="CF10" i="29"/>
  <c r="CF8" i="29"/>
  <c r="CF9" i="29"/>
  <c r="CF7" i="29"/>
  <c r="BY7" i="29"/>
  <c r="BY8" i="29"/>
  <c r="BY10" i="29"/>
  <c r="BY9" i="29"/>
  <c r="CI8" i="29"/>
  <c r="CI7" i="29"/>
  <c r="CI9" i="29"/>
  <c r="CI10" i="29"/>
  <c r="CA8" i="29"/>
  <c r="CA7" i="29"/>
  <c r="CA10" i="29"/>
  <c r="CA9" i="29"/>
  <c r="BX10" i="29"/>
  <c r="BX9" i="29"/>
  <c r="BX7" i="29"/>
  <c r="BX8" i="29"/>
  <c r="CL7" i="29"/>
  <c r="CL10" i="29"/>
  <c r="CL8" i="29"/>
  <c r="CL9" i="29"/>
  <c r="CH7" i="29"/>
  <c r="CH10" i="29"/>
  <c r="CH8" i="29"/>
  <c r="CH9" i="29"/>
  <c r="CD7" i="29"/>
  <c r="CD10" i="29"/>
  <c r="CD9" i="29"/>
  <c r="CD8" i="29"/>
  <c r="BZ7" i="29"/>
  <c r="BZ10" i="29"/>
  <c r="BZ8" i="29"/>
  <c r="BZ9" i="29"/>
  <c r="BW26" i="2"/>
  <c r="BI26" i="2"/>
  <c r="BV14" i="2"/>
  <c r="BH14" i="2"/>
  <c r="CM41" i="2"/>
  <c r="CL3" i="8" s="1"/>
  <c r="CK41" i="2"/>
  <c r="CI41" i="2"/>
  <c r="CH3" i="8" s="1"/>
  <c r="CL41" i="2"/>
  <c r="CK3" i="8" s="1"/>
  <c r="CJ41" i="2"/>
  <c r="CI3" i="8" s="1"/>
  <c r="CJ3" i="8"/>
  <c r="BW27" i="1"/>
  <c r="BV15" i="1"/>
  <c r="BV15" i="2" s="1"/>
  <c r="CJ2" i="3"/>
  <c r="CH2" i="3"/>
  <c r="CG2" i="3"/>
  <c r="CB2" i="3"/>
  <c r="CH27" i="21"/>
  <c r="CH28" i="21" s="1"/>
  <c r="BZ27" i="21"/>
  <c r="BZ28" i="21" s="1"/>
  <c r="BJ27" i="21"/>
  <c r="BJ28" i="21" s="1"/>
  <c r="BD27" i="21"/>
  <c r="BD28" i="21" s="1"/>
  <c r="AD27" i="21"/>
  <c r="AD28" i="21" s="1"/>
  <c r="AA27" i="21"/>
  <c r="AA28" i="21" s="1"/>
  <c r="E27" i="21"/>
  <c r="E28" i="21" s="1"/>
  <c r="CG27" i="21"/>
  <c r="CG28" i="21" s="1"/>
  <c r="CE27" i="21"/>
  <c r="CE28" i="21" s="1"/>
  <c r="AE27" i="21"/>
  <c r="AE28" i="21" s="1"/>
  <c r="AC27" i="21"/>
  <c r="AC28" i="21" s="1"/>
  <c r="Z27" i="21"/>
  <c r="Z28" i="21" s="1"/>
  <c r="AF27" i="21"/>
  <c r="AF28" i="21" s="1"/>
  <c r="BI27" i="21"/>
  <c r="BI28" i="21" s="1"/>
  <c r="F27" i="21"/>
  <c r="F28" i="21" s="1"/>
  <c r="AB27" i="21"/>
  <c r="AB28" i="21" s="1"/>
  <c r="Y27" i="21"/>
  <c r="Y28" i="21" s="1"/>
  <c r="F50" i="8"/>
  <c r="CD6" i="26"/>
  <c r="CB6" i="26"/>
  <c r="BV7" i="26"/>
  <c r="CK6" i="26"/>
  <c r="CI7" i="26"/>
  <c r="CG6" i="26"/>
  <c r="E10" i="9"/>
  <c r="E11" i="9" s="1"/>
  <c r="E13" i="9" s="1"/>
  <c r="CI6" i="26"/>
  <c r="CB7" i="26"/>
  <c r="BW27" i="2" l="1"/>
  <c r="BI27" i="2"/>
  <c r="CL10" i="8"/>
  <c r="CL13" i="8"/>
  <c r="CI9" i="8"/>
  <c r="CI12" i="8"/>
  <c r="CK10" i="8"/>
  <c r="CK13" i="8"/>
  <c r="CJ9" i="8"/>
  <c r="CJ10" i="8"/>
  <c r="CJ12" i="8"/>
  <c r="CJ13" i="8"/>
  <c r="BW28" i="1"/>
  <c r="G50" i="8"/>
  <c r="F51" i="8"/>
  <c r="BV6" i="26"/>
  <c r="CD7" i="26"/>
  <c r="CK7" i="26"/>
  <c r="CG7" i="26"/>
  <c r="F9" i="9"/>
  <c r="F10" i="9"/>
  <c r="F11" i="9"/>
  <c r="BW28" i="2" l="1"/>
  <c r="BI28" i="2"/>
  <c r="BW29" i="1"/>
  <c r="H50" i="8"/>
  <c r="G51" i="8"/>
  <c r="F13" i="9"/>
  <c r="AK3" i="6"/>
  <c r="AD3" i="6"/>
  <c r="AE3" i="6"/>
  <c r="AF3" i="6"/>
  <c r="AG3" i="6"/>
  <c r="AH3" i="6"/>
  <c r="AI3" i="6"/>
  <c r="AJ3" i="6"/>
  <c r="AC3" i="6"/>
  <c r="U3" i="6"/>
  <c r="V3" i="6" s="1"/>
  <c r="T3" i="6"/>
  <c r="H79" i="6"/>
  <c r="J79" i="6" s="1"/>
  <c r="K79" i="6" s="1"/>
  <c r="BW29" i="2" l="1"/>
  <c r="BI29" i="2"/>
  <c r="BW30" i="1"/>
  <c r="I50" i="8"/>
  <c r="H51" i="8"/>
  <c r="W3" i="6"/>
  <c r="BW30" i="2" l="1"/>
  <c r="BI30" i="2"/>
  <c r="BW31" i="1"/>
  <c r="J50" i="8"/>
  <c r="I51" i="8"/>
  <c r="R15" i="1"/>
  <c r="R15" i="2" s="1"/>
  <c r="H59" i="6"/>
  <c r="J59" i="6" s="1"/>
  <c r="K59" i="6" s="1"/>
  <c r="H58" i="6"/>
  <c r="J58" i="6" s="1"/>
  <c r="K58" i="6" s="1"/>
  <c r="H61" i="6"/>
  <c r="J61" i="6" s="1"/>
  <c r="K61" i="6" s="1"/>
  <c r="H60" i="6"/>
  <c r="J60" i="6" s="1"/>
  <c r="K60" i="6" s="1"/>
  <c r="H3" i="6"/>
  <c r="J3" i="6" s="1"/>
  <c r="K3" i="6" s="1"/>
  <c r="H4" i="6"/>
  <c r="J4" i="6" s="1"/>
  <c r="K4" i="6" s="1"/>
  <c r="H5" i="6"/>
  <c r="J5" i="6" s="1"/>
  <c r="K5" i="6" s="1"/>
  <c r="H6" i="6"/>
  <c r="J6" i="6" s="1"/>
  <c r="K6" i="6" s="1"/>
  <c r="H7" i="6"/>
  <c r="J7" i="6" s="1"/>
  <c r="K7" i="6" s="1"/>
  <c r="H8" i="6"/>
  <c r="J8" i="6" s="1"/>
  <c r="K8" i="6" s="1"/>
  <c r="H9" i="6"/>
  <c r="J9" i="6" s="1"/>
  <c r="K9" i="6" s="1"/>
  <c r="H10" i="6"/>
  <c r="J10" i="6" s="1"/>
  <c r="K10" i="6" s="1"/>
  <c r="H11" i="6"/>
  <c r="J11" i="6" s="1"/>
  <c r="K11" i="6" s="1"/>
  <c r="H12" i="6"/>
  <c r="J12" i="6" s="1"/>
  <c r="K12" i="6" s="1"/>
  <c r="H13" i="6"/>
  <c r="J13" i="6" s="1"/>
  <c r="K13" i="6" s="1"/>
  <c r="H14" i="6"/>
  <c r="J14" i="6" s="1"/>
  <c r="K14" i="6" s="1"/>
  <c r="H15" i="6"/>
  <c r="J15" i="6" s="1"/>
  <c r="K15" i="6" s="1"/>
  <c r="H16" i="6"/>
  <c r="J16" i="6" s="1"/>
  <c r="K16" i="6" s="1"/>
  <c r="H17" i="6"/>
  <c r="J17" i="6" s="1"/>
  <c r="K17" i="6" s="1"/>
  <c r="H18" i="6"/>
  <c r="J18" i="6" s="1"/>
  <c r="K18" i="6" s="1"/>
  <c r="H19" i="6"/>
  <c r="J19" i="6" s="1"/>
  <c r="K19" i="6" s="1"/>
  <c r="H20" i="6"/>
  <c r="J20" i="6" s="1"/>
  <c r="K20" i="6" s="1"/>
  <c r="H21" i="6"/>
  <c r="J21" i="6" s="1"/>
  <c r="K21" i="6" s="1"/>
  <c r="H22" i="6"/>
  <c r="J22" i="6" s="1"/>
  <c r="K22" i="6" s="1"/>
  <c r="H23" i="6"/>
  <c r="J23" i="6" s="1"/>
  <c r="K23" i="6" s="1"/>
  <c r="H24" i="6"/>
  <c r="J24" i="6" s="1"/>
  <c r="K24" i="6" s="1"/>
  <c r="H25" i="6"/>
  <c r="J25" i="6" s="1"/>
  <c r="K25" i="6" s="1"/>
  <c r="H26" i="6"/>
  <c r="J26" i="6" s="1"/>
  <c r="K26" i="6" s="1"/>
  <c r="H27" i="6"/>
  <c r="J27" i="6" s="1"/>
  <c r="K27" i="6" s="1"/>
  <c r="H28" i="6"/>
  <c r="J28" i="6" s="1"/>
  <c r="K28" i="6" s="1"/>
  <c r="H29" i="6"/>
  <c r="J29" i="6" s="1"/>
  <c r="K29" i="6" s="1"/>
  <c r="H30" i="6"/>
  <c r="J30" i="6" s="1"/>
  <c r="K30" i="6" s="1"/>
  <c r="H31" i="6"/>
  <c r="J31" i="6" s="1"/>
  <c r="K31" i="6" s="1"/>
  <c r="H32" i="6"/>
  <c r="J32" i="6" s="1"/>
  <c r="K32" i="6" s="1"/>
  <c r="H33" i="6"/>
  <c r="J33" i="6" s="1"/>
  <c r="K33" i="6" s="1"/>
  <c r="H34" i="6"/>
  <c r="J34" i="6" s="1"/>
  <c r="K34" i="6" s="1"/>
  <c r="H35" i="6"/>
  <c r="J35" i="6" s="1"/>
  <c r="K35" i="6" s="1"/>
  <c r="H36" i="6"/>
  <c r="J36" i="6" s="1"/>
  <c r="K36" i="6" s="1"/>
  <c r="H37" i="6"/>
  <c r="J37" i="6" s="1"/>
  <c r="K37" i="6" s="1"/>
  <c r="H38" i="6"/>
  <c r="J38" i="6" s="1"/>
  <c r="K38" i="6" s="1"/>
  <c r="H39" i="6"/>
  <c r="J39" i="6" s="1"/>
  <c r="K39" i="6" s="1"/>
  <c r="H40" i="6"/>
  <c r="J40" i="6" s="1"/>
  <c r="K40" i="6" s="1"/>
  <c r="H41" i="6"/>
  <c r="J41" i="6" s="1"/>
  <c r="K41" i="6" s="1"/>
  <c r="H42" i="6"/>
  <c r="J42" i="6" s="1"/>
  <c r="K42" i="6" s="1"/>
  <c r="H43" i="6"/>
  <c r="J43" i="6" s="1"/>
  <c r="K43" i="6" s="1"/>
  <c r="H44" i="6"/>
  <c r="J44" i="6" s="1"/>
  <c r="K44" i="6" s="1"/>
  <c r="H45" i="6"/>
  <c r="J45" i="6" s="1"/>
  <c r="K45" i="6" s="1"/>
  <c r="H46" i="6"/>
  <c r="J46" i="6" s="1"/>
  <c r="K46" i="6" s="1"/>
  <c r="H47" i="6"/>
  <c r="J47" i="6" s="1"/>
  <c r="K47" i="6" s="1"/>
  <c r="H48" i="6"/>
  <c r="J48" i="6" s="1"/>
  <c r="K48" i="6" s="1"/>
  <c r="H49" i="6"/>
  <c r="J49" i="6" s="1"/>
  <c r="K49" i="6" s="1"/>
  <c r="H50" i="6"/>
  <c r="J50" i="6" s="1"/>
  <c r="K50" i="6" s="1"/>
  <c r="H51" i="6"/>
  <c r="J51" i="6" s="1"/>
  <c r="K51" i="6" s="1"/>
  <c r="H52" i="6"/>
  <c r="J52" i="6" s="1"/>
  <c r="K52" i="6" s="1"/>
  <c r="H53" i="6"/>
  <c r="J53" i="6" s="1"/>
  <c r="K53" i="6" s="1"/>
  <c r="H54" i="6"/>
  <c r="J54" i="6" s="1"/>
  <c r="K54" i="6" s="1"/>
  <c r="H55" i="6"/>
  <c r="J55" i="6" s="1"/>
  <c r="K55" i="6" s="1"/>
  <c r="H56" i="6"/>
  <c r="J56" i="6" s="1"/>
  <c r="K56" i="6" s="1"/>
  <c r="H57" i="6"/>
  <c r="J57" i="6" s="1"/>
  <c r="K57" i="6" s="1"/>
  <c r="H62" i="6"/>
  <c r="J62" i="6" s="1"/>
  <c r="K62" i="6" s="1"/>
  <c r="H63" i="6"/>
  <c r="J63" i="6" s="1"/>
  <c r="K63" i="6" s="1"/>
  <c r="H64" i="6"/>
  <c r="J64" i="6" s="1"/>
  <c r="K64" i="6" s="1"/>
  <c r="H65" i="6"/>
  <c r="J65" i="6" s="1"/>
  <c r="K65" i="6" s="1"/>
  <c r="H66" i="6"/>
  <c r="J66" i="6" s="1"/>
  <c r="K66" i="6" s="1"/>
  <c r="H67" i="6"/>
  <c r="J67" i="6" s="1"/>
  <c r="K67" i="6" s="1"/>
  <c r="H68" i="6"/>
  <c r="J68" i="6" s="1"/>
  <c r="K68" i="6" s="1"/>
  <c r="H69" i="6"/>
  <c r="J69" i="6" s="1"/>
  <c r="K69" i="6" s="1"/>
  <c r="H70" i="6"/>
  <c r="J70" i="6" s="1"/>
  <c r="K70" i="6" s="1"/>
  <c r="H71" i="6"/>
  <c r="J71" i="6" s="1"/>
  <c r="K71" i="6" s="1"/>
  <c r="H72" i="6"/>
  <c r="J72" i="6" s="1"/>
  <c r="K72" i="6" s="1"/>
  <c r="H73" i="6"/>
  <c r="J73" i="6" s="1"/>
  <c r="K73" i="6" s="1"/>
  <c r="H74" i="6"/>
  <c r="J74" i="6" s="1"/>
  <c r="K74" i="6" s="1"/>
  <c r="H75" i="6"/>
  <c r="J75" i="6" s="1"/>
  <c r="K75" i="6" s="1"/>
  <c r="H76" i="6"/>
  <c r="J76" i="6" s="1"/>
  <c r="K76" i="6" s="1"/>
  <c r="H77" i="6"/>
  <c r="J77" i="6" s="1"/>
  <c r="K77" i="6" s="1"/>
  <c r="H107" i="6"/>
  <c r="J107" i="6" s="1"/>
  <c r="K107" i="6" s="1"/>
  <c r="H147" i="6"/>
  <c r="J147" i="6" s="1"/>
  <c r="K147" i="6" s="1"/>
  <c r="H87" i="6"/>
  <c r="J87" i="6" s="1"/>
  <c r="K87" i="6" s="1"/>
  <c r="H151" i="6"/>
  <c r="J151" i="6" s="1"/>
  <c r="K151" i="6" s="1"/>
  <c r="H152" i="6"/>
  <c r="J152" i="6" s="1"/>
  <c r="K152" i="6" s="1"/>
  <c r="H153" i="6"/>
  <c r="J153" i="6" s="1"/>
  <c r="K153" i="6" s="1"/>
  <c r="H154" i="6"/>
  <c r="J154" i="6" s="1"/>
  <c r="K154" i="6" s="1"/>
  <c r="H155" i="6"/>
  <c r="J155" i="6" s="1"/>
  <c r="K155" i="6" s="1"/>
  <c r="H156" i="6"/>
  <c r="J156" i="6" s="1"/>
  <c r="K156" i="6" s="1"/>
  <c r="H99" i="6"/>
  <c r="J99" i="6" s="1"/>
  <c r="K99" i="6" s="1"/>
  <c r="H103" i="6"/>
  <c r="J103" i="6" s="1"/>
  <c r="K103" i="6" s="1"/>
  <c r="H105" i="6"/>
  <c r="J105" i="6" s="1"/>
  <c r="K105" i="6" s="1"/>
  <c r="H84" i="6"/>
  <c r="J84" i="6" s="1"/>
  <c r="K84" i="6" s="1"/>
  <c r="H116" i="6"/>
  <c r="J116" i="6" s="1"/>
  <c r="K116" i="6" s="1"/>
  <c r="H130" i="6"/>
  <c r="J130" i="6" s="1"/>
  <c r="K130" i="6" s="1"/>
  <c r="H80" i="6"/>
  <c r="J80" i="6" s="1"/>
  <c r="K80" i="6" s="1"/>
  <c r="H132" i="6"/>
  <c r="J132" i="6" s="1"/>
  <c r="K132" i="6" s="1"/>
  <c r="H90" i="6"/>
  <c r="J90" i="6" s="1"/>
  <c r="K90" i="6" s="1"/>
  <c r="H138" i="6"/>
  <c r="J138" i="6" s="1"/>
  <c r="K138" i="6" s="1"/>
  <c r="H85" i="6"/>
  <c r="J85" i="6" s="1"/>
  <c r="K85" i="6" s="1"/>
  <c r="H150" i="6"/>
  <c r="J150" i="6" s="1"/>
  <c r="K150" i="6" s="1"/>
  <c r="H157" i="6"/>
  <c r="J157" i="6" s="1"/>
  <c r="K157" i="6" s="1"/>
  <c r="H158" i="6"/>
  <c r="J158" i="6" s="1"/>
  <c r="K158" i="6" s="1"/>
  <c r="H159" i="6"/>
  <c r="J159" i="6" s="1"/>
  <c r="K159" i="6" s="1"/>
  <c r="H160" i="6"/>
  <c r="J160" i="6" s="1"/>
  <c r="K160" i="6" s="1"/>
  <c r="H88" i="6"/>
  <c r="J88" i="6" s="1"/>
  <c r="K88" i="6" s="1"/>
  <c r="H161" i="6"/>
  <c r="J161" i="6" s="1"/>
  <c r="K161" i="6" s="1"/>
  <c r="H83" i="6"/>
  <c r="J83" i="6" s="1"/>
  <c r="K83" i="6" s="1"/>
  <c r="H81" i="6"/>
  <c r="J81" i="6" s="1"/>
  <c r="K81" i="6" s="1"/>
  <c r="H114" i="6"/>
  <c r="J114" i="6" s="1"/>
  <c r="K114" i="6" s="1"/>
  <c r="H117" i="6"/>
  <c r="J117" i="6" s="1"/>
  <c r="K117" i="6" s="1"/>
  <c r="H120" i="6"/>
  <c r="J120" i="6" s="1"/>
  <c r="K120" i="6" s="1"/>
  <c r="H123" i="6"/>
  <c r="J123" i="6" s="1"/>
  <c r="K123" i="6" s="1"/>
  <c r="H133" i="6"/>
  <c r="J133" i="6" s="1"/>
  <c r="K133" i="6" s="1"/>
  <c r="H134" i="6"/>
  <c r="J134" i="6" s="1"/>
  <c r="K134" i="6" s="1"/>
  <c r="H139" i="6"/>
  <c r="J139" i="6" s="1"/>
  <c r="K139" i="6" s="1"/>
  <c r="H140" i="6"/>
  <c r="J140" i="6" s="1"/>
  <c r="K140" i="6" s="1"/>
  <c r="H143" i="6"/>
  <c r="J143" i="6" s="1"/>
  <c r="K143" i="6" s="1"/>
  <c r="H145" i="6"/>
  <c r="J145" i="6" s="1"/>
  <c r="K145" i="6" s="1"/>
  <c r="H148" i="6"/>
  <c r="J148" i="6" s="1"/>
  <c r="K148" i="6" s="1"/>
  <c r="H162" i="6"/>
  <c r="J162" i="6" s="1"/>
  <c r="K162" i="6" s="1"/>
  <c r="H106" i="6"/>
  <c r="J106" i="6" s="1"/>
  <c r="K106" i="6" s="1"/>
  <c r="H149" i="6"/>
  <c r="J149" i="6" s="1"/>
  <c r="K149" i="6" s="1"/>
  <c r="H163" i="6"/>
  <c r="J163" i="6" s="1"/>
  <c r="K163" i="6" s="1"/>
  <c r="H164" i="6"/>
  <c r="J164" i="6" s="1"/>
  <c r="K164" i="6" s="1"/>
  <c r="H98" i="6"/>
  <c r="J98" i="6" s="1"/>
  <c r="K98" i="6" s="1"/>
  <c r="H109" i="6"/>
  <c r="J109" i="6" s="1"/>
  <c r="K109" i="6" s="1"/>
  <c r="H119" i="6"/>
  <c r="J119" i="6" s="1"/>
  <c r="K119" i="6" s="1"/>
  <c r="H126" i="6"/>
  <c r="J126" i="6" s="1"/>
  <c r="K126" i="6" s="1"/>
  <c r="H127" i="6"/>
  <c r="J127" i="6" s="1"/>
  <c r="K127" i="6" s="1"/>
  <c r="H128" i="6"/>
  <c r="J128" i="6" s="1"/>
  <c r="K128" i="6" s="1"/>
  <c r="H142" i="6"/>
  <c r="J142" i="6" s="1"/>
  <c r="K142" i="6" s="1"/>
  <c r="H91" i="6"/>
  <c r="J91" i="6" s="1"/>
  <c r="K91" i="6" s="1"/>
  <c r="H144" i="6"/>
  <c r="J144" i="6" s="1"/>
  <c r="K144" i="6" s="1"/>
  <c r="H89" i="6"/>
  <c r="J89" i="6" s="1"/>
  <c r="K89" i="6" s="1"/>
  <c r="H104" i="6"/>
  <c r="J104" i="6" s="1"/>
  <c r="K104" i="6" s="1"/>
  <c r="H78" i="6"/>
  <c r="J78" i="6" s="1"/>
  <c r="K78" i="6" s="1"/>
  <c r="H165" i="6"/>
  <c r="J165" i="6" s="1"/>
  <c r="K165" i="6" s="1"/>
  <c r="H166" i="6"/>
  <c r="J166" i="6" s="1"/>
  <c r="K166" i="6" s="1"/>
  <c r="H93" i="6"/>
  <c r="J93" i="6" s="1"/>
  <c r="K93" i="6" s="1"/>
  <c r="H112" i="6"/>
  <c r="J112" i="6" s="1"/>
  <c r="K112" i="6" s="1"/>
  <c r="H113" i="6"/>
  <c r="J113" i="6" s="1"/>
  <c r="K113" i="6" s="1"/>
  <c r="H124" i="6"/>
  <c r="J124" i="6" s="1"/>
  <c r="K124" i="6" s="1"/>
  <c r="H129" i="6"/>
  <c r="J129" i="6" s="1"/>
  <c r="K129" i="6" s="1"/>
  <c r="H131" i="6"/>
  <c r="J131" i="6" s="1"/>
  <c r="K131" i="6" s="1"/>
  <c r="H141" i="6"/>
  <c r="J141" i="6" s="1"/>
  <c r="K141" i="6" s="1"/>
  <c r="H82" i="6"/>
  <c r="J82" i="6" s="1"/>
  <c r="K82" i="6" s="1"/>
  <c r="H146" i="6"/>
  <c r="J146" i="6" s="1"/>
  <c r="K146" i="6" s="1"/>
  <c r="H167" i="6"/>
  <c r="J167" i="6" s="1"/>
  <c r="K167" i="6" s="1"/>
  <c r="H101" i="6"/>
  <c r="J101" i="6" s="1"/>
  <c r="K101" i="6" s="1"/>
  <c r="H92" i="6"/>
  <c r="J92" i="6" s="1"/>
  <c r="K92" i="6" s="1"/>
  <c r="H111" i="6"/>
  <c r="J111" i="6" s="1"/>
  <c r="K111" i="6" s="1"/>
  <c r="H115" i="6"/>
  <c r="J115" i="6" s="1"/>
  <c r="K115" i="6" s="1"/>
  <c r="H118" i="6"/>
  <c r="J118" i="6" s="1"/>
  <c r="K118" i="6" s="1"/>
  <c r="H125" i="6"/>
  <c r="J125" i="6" s="1"/>
  <c r="K125" i="6" s="1"/>
  <c r="H136" i="6"/>
  <c r="J136" i="6" s="1"/>
  <c r="K136" i="6" s="1"/>
  <c r="H168" i="6"/>
  <c r="J168" i="6" s="1"/>
  <c r="K168" i="6" s="1"/>
  <c r="H169" i="6"/>
  <c r="J169" i="6" s="1"/>
  <c r="K169" i="6" s="1"/>
  <c r="H170" i="6"/>
  <c r="J170" i="6" s="1"/>
  <c r="K170" i="6" s="1"/>
  <c r="H171" i="6"/>
  <c r="J171" i="6" s="1"/>
  <c r="K171" i="6" s="1"/>
  <c r="H96" i="6"/>
  <c r="J96" i="6" s="1"/>
  <c r="K96" i="6" s="1"/>
  <c r="H97" i="6"/>
  <c r="J97" i="6" s="1"/>
  <c r="K97" i="6" s="1"/>
  <c r="H102" i="6"/>
  <c r="J102" i="6" s="1"/>
  <c r="K102" i="6" s="1"/>
  <c r="H108" i="6"/>
  <c r="J108" i="6" s="1"/>
  <c r="K108" i="6" s="1"/>
  <c r="H110" i="6"/>
  <c r="J110" i="6" s="1"/>
  <c r="K110" i="6" s="1"/>
  <c r="H95" i="6"/>
  <c r="J95" i="6" s="1"/>
  <c r="K95" i="6" s="1"/>
  <c r="H135" i="6"/>
  <c r="J135" i="6" s="1"/>
  <c r="K135" i="6" s="1"/>
  <c r="H94" i="6"/>
  <c r="J94" i="6" s="1"/>
  <c r="K94" i="6" s="1"/>
  <c r="H86" i="6"/>
  <c r="J86" i="6" s="1"/>
  <c r="K86" i="6" s="1"/>
  <c r="H172" i="6"/>
  <c r="J172" i="6" s="1"/>
  <c r="K172" i="6" s="1"/>
  <c r="H173" i="6"/>
  <c r="J173" i="6" s="1"/>
  <c r="K173" i="6" s="1"/>
  <c r="H174" i="6"/>
  <c r="J174" i="6" s="1"/>
  <c r="K174" i="6" s="1"/>
  <c r="H175" i="6"/>
  <c r="J175" i="6" s="1"/>
  <c r="K175" i="6" s="1"/>
  <c r="H176" i="6"/>
  <c r="J176" i="6" s="1"/>
  <c r="K176" i="6" s="1"/>
  <c r="H100" i="6"/>
  <c r="J100" i="6" s="1"/>
  <c r="K100" i="6" s="1"/>
  <c r="H121" i="6"/>
  <c r="J121" i="6" s="1"/>
  <c r="K121" i="6" s="1"/>
  <c r="H122" i="6"/>
  <c r="J122" i="6" s="1"/>
  <c r="K122" i="6" s="1"/>
  <c r="H137" i="6"/>
  <c r="J137" i="6" s="1"/>
  <c r="K137" i="6" s="1"/>
  <c r="N25" i="1"/>
  <c r="N25" i="2" l="1"/>
  <c r="BS25" i="2"/>
  <c r="BI31" i="2"/>
  <c r="BI32" i="2"/>
  <c r="BW32" i="2"/>
  <c r="BW31" i="2"/>
  <c r="N26" i="1"/>
  <c r="K50" i="8"/>
  <c r="J51" i="8"/>
  <c r="D27" i="21"/>
  <c r="C11" i="29"/>
  <c r="C2" i="29"/>
  <c r="C3" i="29"/>
  <c r="C4" i="29"/>
  <c r="C5" i="29"/>
  <c r="C6" i="29"/>
  <c r="C1" i="29"/>
  <c r="D11" i="28"/>
  <c r="D14" i="28"/>
  <c r="D13" i="28"/>
  <c r="G19" i="27"/>
  <c r="S18" i="27"/>
  <c r="W44" i="27"/>
  <c r="V44" i="27"/>
  <c r="U44" i="27"/>
  <c r="T44" i="27"/>
  <c r="S44" i="27"/>
  <c r="R44" i="27"/>
  <c r="Q44" i="27"/>
  <c r="P44" i="27"/>
  <c r="O44" i="27"/>
  <c r="N44" i="27"/>
  <c r="K44" i="27"/>
  <c r="J44" i="27"/>
  <c r="I44" i="27"/>
  <c r="H44" i="27"/>
  <c r="G44" i="27"/>
  <c r="F44" i="27"/>
  <c r="E44" i="27"/>
  <c r="D44" i="27"/>
  <c r="C44" i="27"/>
  <c r="B44" i="27"/>
  <c r="W43" i="27"/>
  <c r="V43" i="27"/>
  <c r="U43" i="27"/>
  <c r="T43" i="27"/>
  <c r="S43" i="27"/>
  <c r="R43" i="27"/>
  <c r="Q43" i="27"/>
  <c r="P43" i="27"/>
  <c r="O43" i="27"/>
  <c r="N43" i="27"/>
  <c r="K43" i="27"/>
  <c r="J43" i="27"/>
  <c r="I43" i="27"/>
  <c r="H43" i="27"/>
  <c r="G43" i="27"/>
  <c r="F43" i="27"/>
  <c r="E43" i="27"/>
  <c r="D43" i="27"/>
  <c r="C43" i="27"/>
  <c r="B43" i="27"/>
  <c r="W42" i="27"/>
  <c r="V42" i="27"/>
  <c r="U42" i="27"/>
  <c r="T42" i="27"/>
  <c r="S42" i="27"/>
  <c r="R42" i="27"/>
  <c r="Q42" i="27"/>
  <c r="P42" i="27"/>
  <c r="O42" i="27"/>
  <c r="N42" i="27"/>
  <c r="K42" i="27"/>
  <c r="J42" i="27"/>
  <c r="I42" i="27"/>
  <c r="H42" i="27"/>
  <c r="G42" i="27"/>
  <c r="F42" i="27"/>
  <c r="E42" i="27"/>
  <c r="D42" i="27"/>
  <c r="C42" i="27"/>
  <c r="B42" i="27"/>
  <c r="W41" i="27"/>
  <c r="V41" i="27"/>
  <c r="U41" i="27"/>
  <c r="T41" i="27"/>
  <c r="S41" i="27"/>
  <c r="R41" i="27"/>
  <c r="Q41" i="27"/>
  <c r="P41" i="27"/>
  <c r="O41" i="27"/>
  <c r="N41" i="27"/>
  <c r="K41" i="27"/>
  <c r="J41" i="27"/>
  <c r="I41" i="27"/>
  <c r="H41" i="27"/>
  <c r="G41" i="27"/>
  <c r="F41" i="27"/>
  <c r="E41" i="27"/>
  <c r="D41" i="27"/>
  <c r="C41" i="27"/>
  <c r="B41" i="27"/>
  <c r="W40" i="27"/>
  <c r="V40" i="27"/>
  <c r="U40" i="27"/>
  <c r="T40" i="27"/>
  <c r="S40" i="27"/>
  <c r="R40" i="27"/>
  <c r="Q40" i="27"/>
  <c r="P40" i="27"/>
  <c r="O40" i="27"/>
  <c r="N40" i="27"/>
  <c r="K40" i="27"/>
  <c r="J40" i="27"/>
  <c r="I40" i="27"/>
  <c r="H40" i="27"/>
  <c r="G40" i="27"/>
  <c r="F40" i="27"/>
  <c r="E40" i="27"/>
  <c r="D40" i="27"/>
  <c r="C40" i="27"/>
  <c r="B40" i="27"/>
  <c r="W39" i="27"/>
  <c r="V39" i="27"/>
  <c r="U39" i="27"/>
  <c r="T39" i="27"/>
  <c r="S39" i="27"/>
  <c r="R39" i="27"/>
  <c r="Q39" i="27"/>
  <c r="P39" i="27"/>
  <c r="O39" i="27"/>
  <c r="N39" i="27"/>
  <c r="K39" i="27"/>
  <c r="J39" i="27"/>
  <c r="I39" i="27"/>
  <c r="H39" i="27"/>
  <c r="G39" i="27"/>
  <c r="F39" i="27"/>
  <c r="E39" i="27"/>
  <c r="D39" i="27"/>
  <c r="C39" i="27"/>
  <c r="B39" i="27"/>
  <c r="W38" i="27"/>
  <c r="V38" i="27"/>
  <c r="U38" i="27"/>
  <c r="T38" i="27"/>
  <c r="S38" i="27"/>
  <c r="R38" i="27"/>
  <c r="Q38" i="27"/>
  <c r="P38" i="27"/>
  <c r="O38" i="27"/>
  <c r="N38" i="27"/>
  <c r="K38" i="27"/>
  <c r="J38" i="27"/>
  <c r="I38" i="27"/>
  <c r="H38" i="27"/>
  <c r="G38" i="27"/>
  <c r="F38" i="27"/>
  <c r="E38" i="27"/>
  <c r="D38" i="27"/>
  <c r="C38" i="27"/>
  <c r="B38" i="27"/>
  <c r="W37" i="27"/>
  <c r="V37" i="27"/>
  <c r="U37" i="27"/>
  <c r="T37" i="27"/>
  <c r="S37" i="27"/>
  <c r="R37" i="27"/>
  <c r="Q37" i="27"/>
  <c r="P37" i="27"/>
  <c r="O37" i="27"/>
  <c r="N37" i="27"/>
  <c r="K37" i="27"/>
  <c r="J37" i="27"/>
  <c r="I37" i="27"/>
  <c r="H37" i="27"/>
  <c r="G37" i="27"/>
  <c r="F37" i="27"/>
  <c r="E37" i="27"/>
  <c r="D37" i="27"/>
  <c r="C37" i="27"/>
  <c r="B37" i="27"/>
  <c r="W36" i="27"/>
  <c r="V36" i="27"/>
  <c r="U36" i="27"/>
  <c r="T36" i="27"/>
  <c r="S36" i="27"/>
  <c r="R36" i="27"/>
  <c r="Q36" i="27"/>
  <c r="P36" i="27"/>
  <c r="O36" i="27"/>
  <c r="N36" i="27"/>
  <c r="K36" i="27"/>
  <c r="J36" i="27"/>
  <c r="I36" i="27"/>
  <c r="H36" i="27"/>
  <c r="G36" i="27"/>
  <c r="F36" i="27"/>
  <c r="E36" i="27"/>
  <c r="D36" i="27"/>
  <c r="C36" i="27"/>
  <c r="B36" i="27"/>
  <c r="W35" i="27"/>
  <c r="V35" i="27"/>
  <c r="U35" i="27"/>
  <c r="T35" i="27"/>
  <c r="S35" i="27"/>
  <c r="R35" i="27"/>
  <c r="Q35" i="27"/>
  <c r="P35" i="27"/>
  <c r="O35" i="27"/>
  <c r="N35" i="27"/>
  <c r="K35" i="27"/>
  <c r="J35" i="27"/>
  <c r="I35" i="27"/>
  <c r="H35" i="27"/>
  <c r="G35" i="27"/>
  <c r="F35" i="27"/>
  <c r="E35" i="27"/>
  <c r="D35" i="27"/>
  <c r="C35" i="27"/>
  <c r="B35" i="27"/>
  <c r="W34" i="27"/>
  <c r="V34" i="27"/>
  <c r="U34" i="27"/>
  <c r="T34" i="27"/>
  <c r="S34" i="27"/>
  <c r="R34" i="27"/>
  <c r="Q34" i="27"/>
  <c r="P34" i="27"/>
  <c r="O34" i="27"/>
  <c r="N34" i="27"/>
  <c r="K34" i="27"/>
  <c r="J34" i="27"/>
  <c r="I34" i="27"/>
  <c r="H34" i="27"/>
  <c r="G34" i="27"/>
  <c r="F34" i="27"/>
  <c r="E34" i="27"/>
  <c r="D34" i="27"/>
  <c r="C34" i="27"/>
  <c r="B34" i="27"/>
  <c r="W33" i="27"/>
  <c r="V33" i="27"/>
  <c r="U33" i="27"/>
  <c r="T33" i="27"/>
  <c r="S33" i="27"/>
  <c r="R33" i="27"/>
  <c r="Q33" i="27"/>
  <c r="P33" i="27"/>
  <c r="O33" i="27"/>
  <c r="N33" i="27"/>
  <c r="K33" i="27"/>
  <c r="J33" i="27"/>
  <c r="I33" i="27"/>
  <c r="H33" i="27"/>
  <c r="G33" i="27"/>
  <c r="F33" i="27"/>
  <c r="E33" i="27"/>
  <c r="D33" i="27"/>
  <c r="C33" i="27"/>
  <c r="B33" i="27"/>
  <c r="W32" i="27"/>
  <c r="V32" i="27"/>
  <c r="U32" i="27"/>
  <c r="T32" i="27"/>
  <c r="S32" i="27"/>
  <c r="R32" i="27"/>
  <c r="Q32" i="27"/>
  <c r="P32" i="27"/>
  <c r="O32" i="27"/>
  <c r="N32" i="27"/>
  <c r="K32" i="27"/>
  <c r="J32" i="27"/>
  <c r="I32" i="27"/>
  <c r="H32" i="27"/>
  <c r="G32" i="27"/>
  <c r="F32" i="27"/>
  <c r="E32" i="27"/>
  <c r="D32" i="27"/>
  <c r="C32" i="27"/>
  <c r="B32" i="27"/>
  <c r="W31" i="27"/>
  <c r="V31" i="27"/>
  <c r="U31" i="27"/>
  <c r="T31" i="27"/>
  <c r="S31" i="27"/>
  <c r="R31" i="27"/>
  <c r="Q31" i="27"/>
  <c r="P31" i="27"/>
  <c r="O31" i="27"/>
  <c r="N31" i="27"/>
  <c r="K31" i="27"/>
  <c r="J31" i="27"/>
  <c r="I31" i="27"/>
  <c r="H31" i="27"/>
  <c r="G31" i="27"/>
  <c r="F31" i="27"/>
  <c r="E31" i="27"/>
  <c r="D31" i="27"/>
  <c r="C31" i="27"/>
  <c r="B31" i="27"/>
  <c r="W30" i="27"/>
  <c r="V30" i="27"/>
  <c r="U30" i="27"/>
  <c r="T30" i="27"/>
  <c r="S30" i="27"/>
  <c r="R30" i="27"/>
  <c r="Q30" i="27"/>
  <c r="P30" i="27"/>
  <c r="O30" i="27"/>
  <c r="N30" i="27"/>
  <c r="K30" i="27"/>
  <c r="J30" i="27"/>
  <c r="I30" i="27"/>
  <c r="H30" i="27"/>
  <c r="G30" i="27"/>
  <c r="F30" i="27"/>
  <c r="E30" i="27"/>
  <c r="D30" i="27"/>
  <c r="C30" i="27"/>
  <c r="B30" i="27"/>
  <c r="W29" i="27"/>
  <c r="V29" i="27"/>
  <c r="U29" i="27"/>
  <c r="T29" i="27"/>
  <c r="S29" i="27"/>
  <c r="R29" i="27"/>
  <c r="Q29" i="27"/>
  <c r="P29" i="27"/>
  <c r="O29" i="27"/>
  <c r="N29" i="27"/>
  <c r="K29" i="27"/>
  <c r="J29" i="27"/>
  <c r="I29" i="27"/>
  <c r="H29" i="27"/>
  <c r="G29" i="27"/>
  <c r="F29" i="27"/>
  <c r="E29" i="27"/>
  <c r="D29" i="27"/>
  <c r="C29" i="27"/>
  <c r="B29" i="27"/>
  <c r="W28" i="27"/>
  <c r="V28" i="27"/>
  <c r="U28" i="27"/>
  <c r="T28" i="27"/>
  <c r="S28" i="27"/>
  <c r="R28" i="27"/>
  <c r="Q28" i="27"/>
  <c r="P28" i="27"/>
  <c r="O28" i="27"/>
  <c r="N28" i="27"/>
  <c r="K28" i="27"/>
  <c r="J28" i="27"/>
  <c r="I28" i="27"/>
  <c r="H28" i="27"/>
  <c r="G28" i="27"/>
  <c r="F28" i="27"/>
  <c r="E28" i="27"/>
  <c r="D28" i="27"/>
  <c r="C28" i="27"/>
  <c r="B28" i="27"/>
  <c r="W27" i="27"/>
  <c r="V27" i="27"/>
  <c r="U27" i="27"/>
  <c r="T27" i="27"/>
  <c r="S27" i="27"/>
  <c r="R27" i="27"/>
  <c r="Q27" i="27"/>
  <c r="P27" i="27"/>
  <c r="O27" i="27"/>
  <c r="N27" i="27"/>
  <c r="K27" i="27"/>
  <c r="J27" i="27"/>
  <c r="I27" i="27"/>
  <c r="H27" i="27"/>
  <c r="G27" i="27"/>
  <c r="F27" i="27"/>
  <c r="E27" i="27"/>
  <c r="D27" i="27"/>
  <c r="C27" i="27"/>
  <c r="B27" i="27"/>
  <c r="W26" i="27"/>
  <c r="V26" i="27"/>
  <c r="U26" i="27"/>
  <c r="T26" i="27"/>
  <c r="S26" i="27"/>
  <c r="R26" i="27"/>
  <c r="Q26" i="27"/>
  <c r="P26" i="27"/>
  <c r="O26" i="27"/>
  <c r="N26" i="27"/>
  <c r="K26" i="27"/>
  <c r="J26" i="27"/>
  <c r="I26" i="27"/>
  <c r="H26" i="27"/>
  <c r="G26" i="27"/>
  <c r="F26" i="27"/>
  <c r="E26" i="27"/>
  <c r="D26" i="27"/>
  <c r="C26" i="27"/>
  <c r="B26" i="27"/>
  <c r="W25" i="27"/>
  <c r="V25" i="27"/>
  <c r="U25" i="27"/>
  <c r="T25" i="27"/>
  <c r="S25" i="27"/>
  <c r="R25" i="27"/>
  <c r="Q25" i="27"/>
  <c r="P25" i="27"/>
  <c r="O25" i="27"/>
  <c r="N25" i="27"/>
  <c r="K25" i="27"/>
  <c r="J25" i="27"/>
  <c r="I25" i="27"/>
  <c r="H25" i="27"/>
  <c r="G25" i="27"/>
  <c r="F25" i="27"/>
  <c r="E25" i="27"/>
  <c r="D25" i="27"/>
  <c r="C25" i="27"/>
  <c r="B25" i="27"/>
  <c r="W24" i="27"/>
  <c r="V24" i="27"/>
  <c r="U24" i="27"/>
  <c r="T24" i="27"/>
  <c r="S24" i="27"/>
  <c r="R24" i="27"/>
  <c r="Q24" i="27"/>
  <c r="P24" i="27"/>
  <c r="O24" i="27"/>
  <c r="N24" i="27"/>
  <c r="K24" i="27"/>
  <c r="J24" i="27"/>
  <c r="I24" i="27"/>
  <c r="H24" i="27"/>
  <c r="G24" i="27"/>
  <c r="F24" i="27"/>
  <c r="E24" i="27"/>
  <c r="D24" i="27"/>
  <c r="C24" i="27"/>
  <c r="B24" i="27"/>
  <c r="W23" i="27"/>
  <c r="V23" i="27"/>
  <c r="U23" i="27"/>
  <c r="T23" i="27"/>
  <c r="S23" i="27"/>
  <c r="R23" i="27"/>
  <c r="Q23" i="27"/>
  <c r="P23" i="27"/>
  <c r="O23" i="27"/>
  <c r="N23" i="27"/>
  <c r="K23" i="27"/>
  <c r="J23" i="27"/>
  <c r="I23" i="27"/>
  <c r="H23" i="27"/>
  <c r="G23" i="27"/>
  <c r="F23" i="27"/>
  <c r="E23" i="27"/>
  <c r="D23" i="27"/>
  <c r="C23" i="27"/>
  <c r="B23" i="27"/>
  <c r="W22" i="27"/>
  <c r="V22" i="27"/>
  <c r="U22" i="27"/>
  <c r="T22" i="27"/>
  <c r="S22" i="27"/>
  <c r="R22" i="27"/>
  <c r="Q22" i="27"/>
  <c r="P22" i="27"/>
  <c r="O22" i="27"/>
  <c r="N22" i="27"/>
  <c r="K22" i="27"/>
  <c r="J22" i="27"/>
  <c r="I22" i="27"/>
  <c r="H22" i="27"/>
  <c r="G22" i="27"/>
  <c r="F22" i="27"/>
  <c r="E22" i="27"/>
  <c r="D22" i="27"/>
  <c r="C22" i="27"/>
  <c r="B22" i="27"/>
  <c r="W21" i="27"/>
  <c r="V21" i="27"/>
  <c r="U21" i="27"/>
  <c r="T21" i="27"/>
  <c r="S21" i="27"/>
  <c r="R21" i="27"/>
  <c r="Q21" i="27"/>
  <c r="P21" i="27"/>
  <c r="O21" i="27"/>
  <c r="N21" i="27"/>
  <c r="K21" i="27"/>
  <c r="J21" i="27"/>
  <c r="I21" i="27"/>
  <c r="H21" i="27"/>
  <c r="G21" i="27"/>
  <c r="F21" i="27"/>
  <c r="E21" i="27"/>
  <c r="D21" i="27"/>
  <c r="C21" i="27"/>
  <c r="B21" i="27"/>
  <c r="W20" i="27"/>
  <c r="V20" i="27"/>
  <c r="U20" i="27"/>
  <c r="T20" i="27"/>
  <c r="S20" i="27"/>
  <c r="R20" i="27"/>
  <c r="Q20" i="27"/>
  <c r="P20" i="27"/>
  <c r="O20" i="27"/>
  <c r="N20" i="27"/>
  <c r="K20" i="27"/>
  <c r="J20" i="27"/>
  <c r="I20" i="27"/>
  <c r="H20" i="27"/>
  <c r="G20" i="27"/>
  <c r="F20" i="27"/>
  <c r="E20" i="27"/>
  <c r="D20" i="27"/>
  <c r="C20" i="27"/>
  <c r="B20" i="27"/>
  <c r="W19" i="27"/>
  <c r="V19" i="27"/>
  <c r="U19" i="27"/>
  <c r="T19" i="27"/>
  <c r="S19" i="27"/>
  <c r="R19" i="27"/>
  <c r="Q19" i="27"/>
  <c r="P19" i="27"/>
  <c r="O19" i="27"/>
  <c r="N19" i="27"/>
  <c r="K19" i="27"/>
  <c r="J19" i="27"/>
  <c r="I19" i="27"/>
  <c r="H19" i="27"/>
  <c r="F19" i="27"/>
  <c r="E19" i="27"/>
  <c r="D19" i="27"/>
  <c r="C19" i="27"/>
  <c r="B19" i="27"/>
  <c r="W18" i="27"/>
  <c r="V18" i="27"/>
  <c r="U18" i="27"/>
  <c r="T18" i="27"/>
  <c r="R18" i="27"/>
  <c r="Q18" i="27"/>
  <c r="P18" i="27"/>
  <c r="O18" i="27"/>
  <c r="N18" i="27"/>
  <c r="K18" i="27"/>
  <c r="J18" i="27"/>
  <c r="I18" i="27"/>
  <c r="H18" i="27"/>
  <c r="G18" i="27"/>
  <c r="F18" i="27"/>
  <c r="E18" i="27"/>
  <c r="D18" i="27"/>
  <c r="C18" i="27"/>
  <c r="B18" i="27"/>
  <c r="W17" i="27"/>
  <c r="V17" i="27"/>
  <c r="U17" i="27"/>
  <c r="T17" i="27"/>
  <c r="S17" i="27"/>
  <c r="R17" i="27"/>
  <c r="Q17" i="27"/>
  <c r="P17" i="27"/>
  <c r="O17" i="27"/>
  <c r="N17" i="27"/>
  <c r="K17" i="27"/>
  <c r="J17" i="27"/>
  <c r="I17" i="27"/>
  <c r="H17" i="27"/>
  <c r="G17" i="27"/>
  <c r="F17" i="27"/>
  <c r="E17" i="27"/>
  <c r="D17" i="27"/>
  <c r="C17" i="27"/>
  <c r="B17" i="27"/>
  <c r="W16" i="27"/>
  <c r="V16" i="27"/>
  <c r="U16" i="27"/>
  <c r="T16" i="27"/>
  <c r="S16" i="27"/>
  <c r="R16" i="27"/>
  <c r="Q16" i="27"/>
  <c r="P16" i="27"/>
  <c r="O16" i="27"/>
  <c r="N16" i="27"/>
  <c r="K16" i="27"/>
  <c r="J16" i="27"/>
  <c r="I16" i="27"/>
  <c r="H16" i="27"/>
  <c r="G16" i="27"/>
  <c r="F16" i="27"/>
  <c r="E16" i="27"/>
  <c r="D16" i="27"/>
  <c r="C16" i="27"/>
  <c r="B16" i="27"/>
  <c r="W15" i="27"/>
  <c r="V15" i="27"/>
  <c r="U15" i="27"/>
  <c r="T15" i="27"/>
  <c r="S15" i="27"/>
  <c r="R15" i="27"/>
  <c r="Q15" i="27"/>
  <c r="P15" i="27"/>
  <c r="O15" i="27"/>
  <c r="N15" i="27"/>
  <c r="K15" i="27"/>
  <c r="J15" i="27"/>
  <c r="I15" i="27"/>
  <c r="H15" i="27"/>
  <c r="G15" i="27"/>
  <c r="F15" i="27"/>
  <c r="E15" i="27"/>
  <c r="D15" i="27"/>
  <c r="C15" i="27"/>
  <c r="B15" i="27"/>
  <c r="W14" i="27"/>
  <c r="V14" i="27"/>
  <c r="U14" i="27"/>
  <c r="T14" i="27"/>
  <c r="S14" i="27"/>
  <c r="R14" i="27"/>
  <c r="Q14" i="27"/>
  <c r="P14" i="27"/>
  <c r="O14" i="27"/>
  <c r="N14" i="27"/>
  <c r="K14" i="27"/>
  <c r="J14" i="27"/>
  <c r="I14" i="27"/>
  <c r="H14" i="27"/>
  <c r="G14" i="27"/>
  <c r="F14" i="27"/>
  <c r="E14" i="27"/>
  <c r="D14" i="27"/>
  <c r="C14" i="27"/>
  <c r="B14" i="27"/>
  <c r="W13" i="27"/>
  <c r="V13" i="27"/>
  <c r="U13" i="27"/>
  <c r="T13" i="27"/>
  <c r="S13" i="27"/>
  <c r="R13" i="27"/>
  <c r="Q13" i="27"/>
  <c r="P13" i="27"/>
  <c r="O13" i="27"/>
  <c r="N13" i="27"/>
  <c r="K13" i="27"/>
  <c r="J13" i="27"/>
  <c r="I13" i="27"/>
  <c r="H13" i="27"/>
  <c r="G13" i="27"/>
  <c r="F13" i="27"/>
  <c r="E13" i="27"/>
  <c r="D13" i="27"/>
  <c r="C13" i="27"/>
  <c r="B13" i="27"/>
  <c r="W12" i="27"/>
  <c r="V12" i="27"/>
  <c r="U12" i="27"/>
  <c r="T12" i="27"/>
  <c r="S12" i="27"/>
  <c r="R12" i="27"/>
  <c r="Q12" i="27"/>
  <c r="P12" i="27"/>
  <c r="O12" i="27"/>
  <c r="N12" i="27"/>
  <c r="K12" i="27"/>
  <c r="J12" i="27"/>
  <c r="I12" i="27"/>
  <c r="H12" i="27"/>
  <c r="G12" i="27"/>
  <c r="F12" i="27"/>
  <c r="E12" i="27"/>
  <c r="D12" i="27"/>
  <c r="C12" i="27"/>
  <c r="B12" i="27"/>
  <c r="W11" i="27"/>
  <c r="V11" i="27"/>
  <c r="U11" i="27"/>
  <c r="T11" i="27"/>
  <c r="S11" i="27"/>
  <c r="R11" i="27"/>
  <c r="Q11" i="27"/>
  <c r="P11" i="27"/>
  <c r="O11" i="27"/>
  <c r="N11" i="27"/>
  <c r="K11" i="27"/>
  <c r="J11" i="27"/>
  <c r="I11" i="27"/>
  <c r="H11" i="27"/>
  <c r="G11" i="27"/>
  <c r="F11" i="27"/>
  <c r="E11" i="27"/>
  <c r="D11" i="27"/>
  <c r="C11" i="27"/>
  <c r="B11" i="27"/>
  <c r="W10" i="27"/>
  <c r="V10" i="27"/>
  <c r="U10" i="27"/>
  <c r="T10" i="27"/>
  <c r="S10" i="27"/>
  <c r="R10" i="27"/>
  <c r="Q10" i="27"/>
  <c r="P10" i="27"/>
  <c r="O10" i="27"/>
  <c r="N10" i="27"/>
  <c r="K10" i="27"/>
  <c r="J10" i="27"/>
  <c r="I10" i="27"/>
  <c r="H10" i="27"/>
  <c r="G10" i="27"/>
  <c r="F10" i="27"/>
  <c r="E10" i="27"/>
  <c r="D10" i="27"/>
  <c r="C10" i="27"/>
  <c r="B10" i="27"/>
  <c r="W9" i="27"/>
  <c r="V9" i="27"/>
  <c r="U9" i="27"/>
  <c r="T9" i="27"/>
  <c r="S9" i="27"/>
  <c r="R9" i="27"/>
  <c r="Q9" i="27"/>
  <c r="P9" i="27"/>
  <c r="O9" i="27"/>
  <c r="N9" i="27"/>
  <c r="K9" i="27"/>
  <c r="J9" i="27"/>
  <c r="I9" i="27"/>
  <c r="H9" i="27"/>
  <c r="G9" i="27"/>
  <c r="F9" i="27"/>
  <c r="E9" i="27"/>
  <c r="D9" i="27"/>
  <c r="C9" i="27"/>
  <c r="B9" i="27"/>
  <c r="W8" i="27"/>
  <c r="V8" i="27"/>
  <c r="U8" i="27"/>
  <c r="T8" i="27"/>
  <c r="S8" i="27"/>
  <c r="R8" i="27"/>
  <c r="Q8" i="27"/>
  <c r="P8" i="27"/>
  <c r="O8" i="27"/>
  <c r="N8" i="27"/>
  <c r="K8" i="27"/>
  <c r="J8" i="27"/>
  <c r="I8" i="27"/>
  <c r="H8" i="27"/>
  <c r="G8" i="27"/>
  <c r="F8" i="27"/>
  <c r="E8" i="27"/>
  <c r="D8" i="27"/>
  <c r="C8" i="27"/>
  <c r="B8" i="27"/>
  <c r="W7" i="27"/>
  <c r="V7" i="27"/>
  <c r="U7" i="27"/>
  <c r="T7" i="27"/>
  <c r="S7" i="27"/>
  <c r="R7" i="27"/>
  <c r="Q7" i="27"/>
  <c r="P7" i="27"/>
  <c r="O7" i="27"/>
  <c r="N7" i="27"/>
  <c r="K7" i="27"/>
  <c r="J7" i="27"/>
  <c r="I7" i="27"/>
  <c r="H7" i="27"/>
  <c r="G7" i="27"/>
  <c r="F7" i="27"/>
  <c r="E7" i="27"/>
  <c r="D7" i="27"/>
  <c r="C7" i="27"/>
  <c r="B7" i="27"/>
  <c r="W6" i="27"/>
  <c r="V6" i="27"/>
  <c r="U6" i="27"/>
  <c r="T6" i="27"/>
  <c r="S6" i="27"/>
  <c r="R6" i="27"/>
  <c r="Q6" i="27"/>
  <c r="P6" i="27"/>
  <c r="O6" i="27"/>
  <c r="N6" i="27"/>
  <c r="K6" i="27"/>
  <c r="J6" i="27"/>
  <c r="I6" i="27"/>
  <c r="H6" i="27"/>
  <c r="G6" i="27"/>
  <c r="F6" i="27"/>
  <c r="E6" i="27"/>
  <c r="D6" i="27"/>
  <c r="C6" i="27"/>
  <c r="B6" i="27"/>
  <c r="W5" i="27"/>
  <c r="V5" i="27"/>
  <c r="U5" i="27"/>
  <c r="T5" i="27"/>
  <c r="S5" i="27"/>
  <c r="R5" i="27"/>
  <c r="Q5" i="27"/>
  <c r="P5" i="27"/>
  <c r="O5" i="27"/>
  <c r="N5" i="27"/>
  <c r="K5" i="27"/>
  <c r="J5" i="27"/>
  <c r="I5" i="27"/>
  <c r="H5" i="27"/>
  <c r="G5" i="27"/>
  <c r="F5" i="27"/>
  <c r="E5" i="27"/>
  <c r="D5" i="27"/>
  <c r="C5" i="27"/>
  <c r="B5" i="27"/>
  <c r="W4" i="27"/>
  <c r="V4" i="27"/>
  <c r="U4" i="27"/>
  <c r="T4" i="27"/>
  <c r="S4" i="27"/>
  <c r="R4" i="27"/>
  <c r="Q4" i="27"/>
  <c r="P4" i="27"/>
  <c r="O4" i="27"/>
  <c r="N4" i="27"/>
  <c r="K4" i="27"/>
  <c r="J4" i="27"/>
  <c r="I4" i="27"/>
  <c r="H4" i="27"/>
  <c r="G4" i="27"/>
  <c r="F4" i="27"/>
  <c r="E4" i="27"/>
  <c r="D4" i="27"/>
  <c r="C4" i="27"/>
  <c r="B4" i="27"/>
  <c r="N26" i="2" l="1"/>
  <c r="BS26" i="2"/>
  <c r="N27" i="1"/>
  <c r="L50" i="8"/>
  <c r="K51" i="8"/>
  <c r="D15" i="28"/>
  <c r="E13" i="28"/>
  <c r="E14" i="28"/>
  <c r="X38" i="1"/>
  <c r="Y38" i="1"/>
  <c r="Z38" i="1"/>
  <c r="AA38" i="1"/>
  <c r="AB38" i="1"/>
  <c r="AC38" i="1"/>
  <c r="AD38" i="1"/>
  <c r="AE38" i="1"/>
  <c r="AF38" i="1"/>
  <c r="AG38" i="1"/>
  <c r="AH38" i="1"/>
  <c r="AI38" i="1"/>
  <c r="AJ38" i="1"/>
  <c r="AK38" i="1"/>
  <c r="AL38" i="1"/>
  <c r="AM38" i="1"/>
  <c r="AN38" i="1"/>
  <c r="AO38" i="1"/>
  <c r="AP38" i="1"/>
  <c r="AQ38" i="1"/>
  <c r="AR38" i="1"/>
  <c r="AS38" i="1"/>
  <c r="AT38" i="1"/>
  <c r="AU38" i="1"/>
  <c r="AV38" i="1"/>
  <c r="AW38" i="1"/>
  <c r="AY38" i="1"/>
  <c r="AZ38" i="1"/>
  <c r="BA38" i="1"/>
  <c r="BB38" i="1"/>
  <c r="BC38" i="1"/>
  <c r="BD38" i="1"/>
  <c r="BE38" i="1"/>
  <c r="BF38" i="1"/>
  <c r="BG38" i="1"/>
  <c r="BH38" i="1"/>
  <c r="BI38" i="1"/>
  <c r="BJ38" i="1"/>
  <c r="BK38" i="1"/>
  <c r="BL38" i="1"/>
  <c r="BM38" i="1"/>
  <c r="BN38" i="1"/>
  <c r="BO38" i="1"/>
  <c r="BP38" i="1"/>
  <c r="BQ38" i="1"/>
  <c r="BR38" i="1"/>
  <c r="BS38" i="1"/>
  <c r="BT38" i="1"/>
  <c r="BU38" i="1"/>
  <c r="S38" i="1"/>
  <c r="T38" i="1"/>
  <c r="U38" i="1"/>
  <c r="V38" i="1"/>
  <c r="W38" i="1"/>
  <c r="Q38" i="1"/>
  <c r="R38" i="1"/>
  <c r="K38" i="1"/>
  <c r="L38" i="1"/>
  <c r="M38" i="1"/>
  <c r="N38" i="1"/>
  <c r="O38" i="1"/>
  <c r="P38" i="1"/>
  <c r="F38" i="1"/>
  <c r="G38" i="1"/>
  <c r="H38" i="1"/>
  <c r="I38" i="1"/>
  <c r="J38" i="1"/>
  <c r="E38" i="1"/>
  <c r="D38" i="1"/>
  <c r="E11" i="29"/>
  <c r="F11" i="29"/>
  <c r="G11" i="29"/>
  <c r="H11" i="29"/>
  <c r="I11" i="29"/>
  <c r="J11" i="29"/>
  <c r="K11" i="29"/>
  <c r="L11" i="29"/>
  <c r="M11" i="29"/>
  <c r="N11" i="29"/>
  <c r="O11" i="29"/>
  <c r="P11" i="29"/>
  <c r="Q11" i="29"/>
  <c r="R11" i="29"/>
  <c r="S11" i="29"/>
  <c r="T11" i="29"/>
  <c r="U11" i="29"/>
  <c r="W11" i="29"/>
  <c r="X11" i="29"/>
  <c r="Y11" i="29"/>
  <c r="Z11" i="29"/>
  <c r="AA11" i="29"/>
  <c r="AB11" i="29"/>
  <c r="AC11" i="29"/>
  <c r="AD11" i="29"/>
  <c r="AE11" i="29"/>
  <c r="AF11" i="29"/>
  <c r="AG11" i="29"/>
  <c r="AH11" i="29"/>
  <c r="AI11" i="29"/>
  <c r="AJ11" i="29"/>
  <c r="AK11" i="29"/>
  <c r="AL11" i="29"/>
  <c r="AM11" i="29"/>
  <c r="AN11" i="29"/>
  <c r="AO11" i="29"/>
  <c r="AP11" i="29"/>
  <c r="AQ11" i="29"/>
  <c r="AR11" i="29"/>
  <c r="AS11" i="29"/>
  <c r="AT11" i="29"/>
  <c r="AU11" i="29"/>
  <c r="AV11" i="29"/>
  <c r="AW11" i="29"/>
  <c r="AY11" i="29"/>
  <c r="AZ11" i="29"/>
  <c r="BA11" i="29"/>
  <c r="BB11" i="29"/>
  <c r="BC11" i="29"/>
  <c r="BD11" i="29"/>
  <c r="BE11" i="29"/>
  <c r="BF11" i="29"/>
  <c r="BG11" i="29"/>
  <c r="BH11" i="29"/>
  <c r="BI11" i="29"/>
  <c r="BJ11" i="29"/>
  <c r="BK11" i="29"/>
  <c r="BL11" i="29"/>
  <c r="BM11" i="29"/>
  <c r="BN11" i="29"/>
  <c r="BO11" i="29"/>
  <c r="BP11" i="29"/>
  <c r="BQ11" i="29"/>
  <c r="BR11" i="29"/>
  <c r="BS11" i="29"/>
  <c r="BT11" i="29"/>
  <c r="BU11" i="29"/>
  <c r="V11" i="29"/>
  <c r="BT37" i="1"/>
  <c r="BU37" i="1"/>
  <c r="BT13" i="1"/>
  <c r="AV33" i="1"/>
  <c r="AQ21" i="1"/>
  <c r="AN21" i="1"/>
  <c r="AN16" i="7"/>
  <c r="K33" i="7"/>
  <c r="K31" i="7"/>
  <c r="K30" i="7"/>
  <c r="M33" i="1"/>
  <c r="M33" i="2" s="1"/>
  <c r="M31" i="1"/>
  <c r="M30" i="1"/>
  <c r="M30" i="2" s="1"/>
  <c r="D15" i="7"/>
  <c r="F15" i="1"/>
  <c r="D12" i="1"/>
  <c r="B12" i="7"/>
  <c r="B11" i="7"/>
  <c r="L2" i="3"/>
  <c r="BL37" i="1"/>
  <c r="BM37" i="1"/>
  <c r="BN37" i="1"/>
  <c r="CG41" i="2" s="1"/>
  <c r="CF3" i="8" s="1"/>
  <c r="BO37" i="1"/>
  <c r="BP37" i="1"/>
  <c r="BQ37" i="1"/>
  <c r="BR37" i="1"/>
  <c r="CH41" i="2" s="1"/>
  <c r="CG3" i="8" s="1"/>
  <c r="BS37" i="1"/>
  <c r="BS33" i="1"/>
  <c r="BR15" i="1"/>
  <c r="BK29" i="1"/>
  <c r="BM21" i="1"/>
  <c r="BM32" i="1"/>
  <c r="BG21" i="1"/>
  <c r="BL21" i="1"/>
  <c r="BK15" i="1"/>
  <c r="BH15" i="1"/>
  <c r="BJ15" i="1"/>
  <c r="BI15" i="1"/>
  <c r="BG15" i="1"/>
  <c r="BB15" i="1"/>
  <c r="BB15" i="2" s="1"/>
  <c r="AZ15" i="1"/>
  <c r="AV15" i="1"/>
  <c r="AU15" i="1"/>
  <c r="AS15" i="1"/>
  <c r="AS15" i="2" s="1"/>
  <c r="AP15" i="1"/>
  <c r="AQ15" i="1"/>
  <c r="AR15" i="1"/>
  <c r="AO15" i="1"/>
  <c r="AB37" i="1"/>
  <c r="AC37" i="1"/>
  <c r="BW41" i="2" s="1"/>
  <c r="BV3" i="8" s="1"/>
  <c r="AD37" i="1"/>
  <c r="BX41" i="2" s="1"/>
  <c r="BW3" i="8" s="1"/>
  <c r="AE37" i="1"/>
  <c r="AF37" i="1"/>
  <c r="AG37" i="1"/>
  <c r="AH37" i="1"/>
  <c r="BY41" i="2" s="1"/>
  <c r="BX3" i="8" s="1"/>
  <c r="AI37" i="1"/>
  <c r="BZ41" i="2" s="1"/>
  <c r="BY3" i="8" s="1"/>
  <c r="AJ37" i="1"/>
  <c r="AK37" i="1"/>
  <c r="AL37" i="1"/>
  <c r="AM37" i="1"/>
  <c r="AN37" i="1"/>
  <c r="CA41" i="2" s="1"/>
  <c r="BZ3" i="8" s="1"/>
  <c r="AO37" i="1"/>
  <c r="CB41" i="2" s="1"/>
  <c r="CA3" i="8" s="1"/>
  <c r="AP37" i="1"/>
  <c r="AX41" i="2" s="1"/>
  <c r="AW3" i="8" s="1"/>
  <c r="AQ37" i="1"/>
  <c r="AR37" i="1"/>
  <c r="AS37" i="1"/>
  <c r="AT37" i="1"/>
  <c r="AU37" i="1"/>
  <c r="AV37" i="1"/>
  <c r="CC41" i="2" s="1"/>
  <c r="CB3" i="8" s="1"/>
  <c r="AW37" i="1"/>
  <c r="AY37" i="1"/>
  <c r="AZ37" i="1"/>
  <c r="BA37" i="1"/>
  <c r="BB37" i="1"/>
  <c r="D41" i="2" s="1"/>
  <c r="C3" i="8" s="1"/>
  <c r="BC37" i="1"/>
  <c r="BD37" i="1"/>
  <c r="BE37" i="1"/>
  <c r="BF37" i="1"/>
  <c r="BG37" i="1"/>
  <c r="CD41" i="2" s="1"/>
  <c r="CC3" i="8" s="1"/>
  <c r="BH37" i="1"/>
  <c r="BI37" i="1"/>
  <c r="BJ37" i="1"/>
  <c r="CE41" i="2" s="1"/>
  <c r="CD3" i="8" s="1"/>
  <c r="BK37" i="1"/>
  <c r="CF41" i="2" s="1"/>
  <c r="CE3" i="8" s="1"/>
  <c r="AA37" i="1"/>
  <c r="BV41" i="2" s="1"/>
  <c r="AN15" i="1"/>
  <c r="AL15" i="1"/>
  <c r="AJ15" i="1"/>
  <c r="AF11" i="1"/>
  <c r="AE32" i="1"/>
  <c r="AE29" i="1"/>
  <c r="AE23" i="1"/>
  <c r="AH15" i="1"/>
  <c r="AF15" i="1"/>
  <c r="AD15" i="1"/>
  <c r="AC15" i="1"/>
  <c r="AE14" i="1"/>
  <c r="BF2" i="3"/>
  <c r="AE2" i="3"/>
  <c r="AG2" i="3"/>
  <c r="AI2" i="3"/>
  <c r="AP2" i="3"/>
  <c r="AS2" i="3"/>
  <c r="X32" i="1"/>
  <c r="S15" i="1"/>
  <c r="S15" i="2" s="1"/>
  <c r="X21" i="1"/>
  <c r="U22" i="1"/>
  <c r="X15" i="1"/>
  <c r="X15" i="2" s="1"/>
  <c r="X13" i="1"/>
  <c r="W13" i="1"/>
  <c r="Z15" i="1"/>
  <c r="Z11" i="1"/>
  <c r="BO8" i="29" l="1"/>
  <c r="BO7" i="29"/>
  <c r="BO9" i="29"/>
  <c r="BO10" i="29"/>
  <c r="BG8" i="29"/>
  <c r="BG7" i="29"/>
  <c r="BG9" i="29"/>
  <c r="BG10" i="29"/>
  <c r="AY8" i="29"/>
  <c r="AY7" i="29"/>
  <c r="AY9" i="29"/>
  <c r="AY10" i="29"/>
  <c r="AP7" i="29"/>
  <c r="AP10" i="29"/>
  <c r="AP8" i="29"/>
  <c r="AP9" i="29"/>
  <c r="AH7" i="29"/>
  <c r="AH10" i="29"/>
  <c r="AH9" i="29"/>
  <c r="AH8" i="29"/>
  <c r="Z7" i="29"/>
  <c r="Z10" i="29"/>
  <c r="Z8" i="29"/>
  <c r="Z9" i="29"/>
  <c r="M7" i="29"/>
  <c r="M8" i="29"/>
  <c r="M9" i="29"/>
  <c r="M10" i="29"/>
  <c r="E8" i="29"/>
  <c r="E9" i="29"/>
  <c r="E7" i="29"/>
  <c r="E10" i="29"/>
  <c r="BR7" i="29"/>
  <c r="BR10" i="29"/>
  <c r="BR8" i="29"/>
  <c r="BR9" i="29"/>
  <c r="BJ7" i="29"/>
  <c r="BJ10" i="29"/>
  <c r="BJ8" i="29"/>
  <c r="BJ9" i="29"/>
  <c r="BB7" i="29"/>
  <c r="BB10" i="29"/>
  <c r="BB8" i="29"/>
  <c r="BB9" i="29"/>
  <c r="AO7" i="29"/>
  <c r="AO9" i="29"/>
  <c r="AO8" i="29"/>
  <c r="AO10" i="29"/>
  <c r="AG10" i="29"/>
  <c r="AG9" i="29"/>
  <c r="AG7" i="29"/>
  <c r="AG8" i="29"/>
  <c r="Y10" i="29"/>
  <c r="Y9" i="29"/>
  <c r="Y8" i="29"/>
  <c r="Y7" i="29"/>
  <c r="P7" i="29"/>
  <c r="P10" i="29"/>
  <c r="P9" i="29"/>
  <c r="P8" i="29"/>
  <c r="H7" i="29"/>
  <c r="H10" i="29"/>
  <c r="H9" i="29"/>
  <c r="H8" i="29"/>
  <c r="BT10" i="29"/>
  <c r="BT8" i="29"/>
  <c r="BT9" i="29"/>
  <c r="BT7" i="29"/>
  <c r="BP10" i="29"/>
  <c r="BP7" i="29"/>
  <c r="BP8" i="29"/>
  <c r="BP9" i="29"/>
  <c r="BL7" i="29"/>
  <c r="BL9" i="29"/>
  <c r="BL8" i="29"/>
  <c r="BL10" i="29"/>
  <c r="BH9" i="29"/>
  <c r="BH10" i="29"/>
  <c r="BH8" i="29"/>
  <c r="BH7" i="29"/>
  <c r="BD10" i="29"/>
  <c r="BD7" i="29"/>
  <c r="BD9" i="29"/>
  <c r="BD8" i="29"/>
  <c r="AZ8" i="29"/>
  <c r="AZ9" i="29"/>
  <c r="AZ7" i="29"/>
  <c r="AZ10" i="29"/>
  <c r="AU8" i="29"/>
  <c r="AU7" i="29"/>
  <c r="AU10" i="29"/>
  <c r="AU9" i="29"/>
  <c r="AQ8" i="29"/>
  <c r="AQ7" i="29"/>
  <c r="AQ9" i="29"/>
  <c r="AQ10" i="29"/>
  <c r="AM8" i="29"/>
  <c r="AM7" i="29"/>
  <c r="AM9" i="29"/>
  <c r="AM10" i="29"/>
  <c r="AI8" i="29"/>
  <c r="AI7" i="29"/>
  <c r="AI9" i="29"/>
  <c r="AI10" i="29"/>
  <c r="AE8" i="29"/>
  <c r="AE7" i="29"/>
  <c r="AE10" i="29"/>
  <c r="AE9" i="29"/>
  <c r="AA8" i="29"/>
  <c r="AA7" i="29"/>
  <c r="AA9" i="29"/>
  <c r="AA10" i="29"/>
  <c r="W8" i="29"/>
  <c r="W7" i="29"/>
  <c r="W9" i="29"/>
  <c r="W10" i="29"/>
  <c r="R7" i="29"/>
  <c r="R10" i="29"/>
  <c r="R9" i="29"/>
  <c r="R8" i="29"/>
  <c r="N8" i="29"/>
  <c r="N7" i="29"/>
  <c r="N10" i="29"/>
  <c r="N9" i="29"/>
  <c r="J9" i="29"/>
  <c r="J8" i="29"/>
  <c r="J7" i="29"/>
  <c r="J10" i="29"/>
  <c r="F9" i="29"/>
  <c r="F10" i="29"/>
  <c r="F8" i="29"/>
  <c r="F7" i="29"/>
  <c r="BS8" i="29"/>
  <c r="BS7" i="29"/>
  <c r="BS9" i="29"/>
  <c r="BS10" i="29"/>
  <c r="BK8" i="29"/>
  <c r="BK7" i="29"/>
  <c r="BK10" i="29"/>
  <c r="BK9" i="29"/>
  <c r="BC8" i="29"/>
  <c r="BC7" i="29"/>
  <c r="BC9" i="29"/>
  <c r="BC10" i="29"/>
  <c r="AT7" i="29"/>
  <c r="AT10" i="29"/>
  <c r="AT8" i="29"/>
  <c r="AT9" i="29"/>
  <c r="AL7" i="29"/>
  <c r="AL10" i="29"/>
  <c r="AL8" i="29"/>
  <c r="AL9" i="29"/>
  <c r="AD7" i="29"/>
  <c r="AD10" i="29"/>
  <c r="AD8" i="29"/>
  <c r="AD9" i="29"/>
  <c r="U7" i="29"/>
  <c r="U10" i="29"/>
  <c r="U8" i="29"/>
  <c r="U9" i="29"/>
  <c r="Q10" i="29"/>
  <c r="Q9" i="29"/>
  <c r="Q7" i="29"/>
  <c r="Q8" i="29"/>
  <c r="I7" i="29"/>
  <c r="I9" i="29"/>
  <c r="I10" i="29"/>
  <c r="I8" i="29"/>
  <c r="V7" i="29"/>
  <c r="V10" i="29"/>
  <c r="V8" i="29"/>
  <c r="V9" i="29"/>
  <c r="BN7" i="29"/>
  <c r="BN10" i="29"/>
  <c r="BN9" i="29"/>
  <c r="BN8" i="29"/>
  <c r="BF7" i="29"/>
  <c r="BF10" i="29"/>
  <c r="BF8" i="29"/>
  <c r="BF9" i="29"/>
  <c r="AW10" i="29"/>
  <c r="AW9" i="29"/>
  <c r="AW7" i="29"/>
  <c r="AW8" i="29"/>
  <c r="AS7" i="29"/>
  <c r="AS10" i="29"/>
  <c r="AS8" i="29"/>
  <c r="AS9" i="29"/>
  <c r="AK7" i="29"/>
  <c r="AK9" i="29"/>
  <c r="AK8" i="29"/>
  <c r="AK10" i="29"/>
  <c r="AC7" i="29"/>
  <c r="AC10" i="29"/>
  <c r="AC9" i="29"/>
  <c r="AC8" i="29"/>
  <c r="T8" i="29"/>
  <c r="T10" i="29"/>
  <c r="T9" i="29"/>
  <c r="T7" i="29"/>
  <c r="L10" i="29"/>
  <c r="L9" i="29"/>
  <c r="L8" i="29"/>
  <c r="L7" i="29"/>
  <c r="BU8" i="29"/>
  <c r="BU9" i="29"/>
  <c r="BU10" i="29"/>
  <c r="BU7" i="29"/>
  <c r="BQ7" i="29"/>
  <c r="BQ9" i="29"/>
  <c r="BQ10" i="29"/>
  <c r="BQ8" i="29"/>
  <c r="BM10" i="29"/>
  <c r="BM9" i="29"/>
  <c r="BM7" i="29"/>
  <c r="BM8" i="29"/>
  <c r="BI7" i="29"/>
  <c r="BI10" i="29"/>
  <c r="BI9" i="29"/>
  <c r="BI8" i="29"/>
  <c r="BE10" i="29"/>
  <c r="BE7" i="29"/>
  <c r="BE8" i="29"/>
  <c r="BE9" i="29"/>
  <c r="BA7" i="29"/>
  <c r="BA9" i="29"/>
  <c r="BA8" i="29"/>
  <c r="BA10" i="29"/>
  <c r="AV7" i="29"/>
  <c r="AV9" i="29"/>
  <c r="AV10" i="29"/>
  <c r="AV8" i="29"/>
  <c r="AR9" i="29"/>
  <c r="AR10" i="29"/>
  <c r="AR7" i="29"/>
  <c r="AR8" i="29"/>
  <c r="AN10" i="29"/>
  <c r="AN9" i="29"/>
  <c r="AN7" i="29"/>
  <c r="AN8" i="29"/>
  <c r="AJ8" i="29"/>
  <c r="AJ10" i="29"/>
  <c r="AJ9" i="29"/>
  <c r="AJ7" i="29"/>
  <c r="AF7" i="29"/>
  <c r="AF9" i="29"/>
  <c r="AF10" i="29"/>
  <c r="AF8" i="29"/>
  <c r="AB9" i="29"/>
  <c r="AB10" i="29"/>
  <c r="AB8" i="29"/>
  <c r="AB7" i="29"/>
  <c r="X7" i="29"/>
  <c r="X10" i="29"/>
  <c r="X8" i="29"/>
  <c r="X9" i="29"/>
  <c r="S8" i="29"/>
  <c r="S7" i="29"/>
  <c r="S9" i="29"/>
  <c r="S10" i="29"/>
  <c r="O8" i="29"/>
  <c r="O7" i="29"/>
  <c r="O10" i="29"/>
  <c r="O9" i="29"/>
  <c r="K8" i="29"/>
  <c r="K7" i="29"/>
  <c r="K9" i="29"/>
  <c r="K10" i="29"/>
  <c r="G10" i="29"/>
  <c r="G8" i="29"/>
  <c r="G9" i="29"/>
  <c r="G7" i="29"/>
  <c r="G14" i="28"/>
  <c r="F14" i="28"/>
  <c r="G13" i="28"/>
  <c r="F13" i="28"/>
  <c r="AU13" i="2"/>
  <c r="AU14" i="2"/>
  <c r="AD15" i="2"/>
  <c r="BX15" i="2"/>
  <c r="AL15" i="2"/>
  <c r="AW15" i="2"/>
  <c r="CD12" i="8"/>
  <c r="CD9" i="8"/>
  <c r="CA10" i="8"/>
  <c r="CA12" i="8"/>
  <c r="CA13" i="8"/>
  <c r="CA9" i="8"/>
  <c r="BV13" i="8"/>
  <c r="BV10" i="8"/>
  <c r="AQ15" i="2"/>
  <c r="AY15" i="2"/>
  <c r="AV15" i="2"/>
  <c r="CC15" i="2"/>
  <c r="BI15" i="2"/>
  <c r="BD15" i="2"/>
  <c r="AD21" i="2"/>
  <c r="AD22" i="2"/>
  <c r="CF29" i="2"/>
  <c r="CF30" i="2"/>
  <c r="CF9" i="8"/>
  <c r="CF12" i="8"/>
  <c r="AY21" i="2"/>
  <c r="AY22" i="2"/>
  <c r="M12" i="2"/>
  <c r="M11" i="2"/>
  <c r="AU33" i="2"/>
  <c r="AU32" i="2"/>
  <c r="AF15" i="2"/>
  <c r="O15" i="2"/>
  <c r="N33" i="2"/>
  <c r="N32" i="2"/>
  <c r="AN15" i="2"/>
  <c r="CA15" i="2"/>
  <c r="CB13" i="8"/>
  <c r="CB10" i="8"/>
  <c r="BZ9" i="8"/>
  <c r="BZ12" i="8"/>
  <c r="AP15" i="2"/>
  <c r="AX15" i="2"/>
  <c r="AZ15" i="2"/>
  <c r="BJ15" i="2"/>
  <c r="CE15" i="2"/>
  <c r="CD21" i="2"/>
  <c r="CD22" i="2"/>
  <c r="BR15" i="2"/>
  <c r="CH15" i="2"/>
  <c r="CC34" i="2"/>
  <c r="CC33" i="2"/>
  <c r="Z15" i="2"/>
  <c r="M15" i="2"/>
  <c r="BU22" i="2"/>
  <c r="BU23" i="2"/>
  <c r="AE14" i="2"/>
  <c r="N14" i="2"/>
  <c r="AH15" i="2"/>
  <c r="BY15" i="2"/>
  <c r="O12" i="2"/>
  <c r="O11" i="2"/>
  <c r="AO15" i="2"/>
  <c r="CB15" i="2"/>
  <c r="BH15" i="2"/>
  <c r="BC15" i="2"/>
  <c r="BE33" i="2"/>
  <c r="BE32" i="2"/>
  <c r="BS33" i="2"/>
  <c r="BG33" i="2"/>
  <c r="BT13" i="2"/>
  <c r="E13" i="2"/>
  <c r="N27" i="2"/>
  <c r="BS27" i="2"/>
  <c r="W13" i="2"/>
  <c r="AT13" i="2"/>
  <c r="AU21" i="2"/>
  <c r="AU22" i="2"/>
  <c r="AC15" i="2"/>
  <c r="BW15" i="2"/>
  <c r="N22" i="2"/>
  <c r="N23" i="2"/>
  <c r="AJ15" i="2"/>
  <c r="Q15" i="2"/>
  <c r="CE9" i="8"/>
  <c r="CE12" i="8"/>
  <c r="AW11" i="8"/>
  <c r="AW8" i="8"/>
  <c r="BX13" i="8"/>
  <c r="BX10" i="8"/>
  <c r="BW10" i="8"/>
  <c r="BW13" i="8"/>
  <c r="AR15" i="2"/>
  <c r="T15" i="2"/>
  <c r="AU15" i="2"/>
  <c r="V15" i="2"/>
  <c r="BG15" i="2"/>
  <c r="CD15" i="2"/>
  <c r="BK15" i="2"/>
  <c r="CF15" i="2"/>
  <c r="BE22" i="2"/>
  <c r="BE21" i="2"/>
  <c r="CA21" i="2"/>
  <c r="CA23" i="2"/>
  <c r="X21" i="2"/>
  <c r="X22" i="2"/>
  <c r="BM21" i="2"/>
  <c r="BM22" i="2"/>
  <c r="AN21" i="2"/>
  <c r="AN23" i="2"/>
  <c r="AE29" i="2"/>
  <c r="AE30" i="2"/>
  <c r="BL21" i="2"/>
  <c r="BL22" i="2"/>
  <c r="BK29" i="2"/>
  <c r="BK30" i="2"/>
  <c r="AQ21" i="2"/>
  <c r="AQ22" i="2"/>
  <c r="E47" i="1"/>
  <c r="D47" i="1"/>
  <c r="X13" i="2"/>
  <c r="X14" i="2"/>
  <c r="Z11" i="2"/>
  <c r="Z12" i="2"/>
  <c r="X33" i="2"/>
  <c r="X32" i="2"/>
  <c r="AE33" i="2"/>
  <c r="AE32" i="2"/>
  <c r="BG21" i="2"/>
  <c r="BG22" i="2"/>
  <c r="M31" i="2"/>
  <c r="M32" i="2"/>
  <c r="AV34" i="2"/>
  <c r="AV33" i="2"/>
  <c r="AE22" i="2"/>
  <c r="AE23" i="2"/>
  <c r="U22" i="2"/>
  <c r="U23" i="2"/>
  <c r="AF11" i="2"/>
  <c r="AF12" i="2"/>
  <c r="BM32" i="2"/>
  <c r="BM33" i="2"/>
  <c r="AA41" i="2"/>
  <c r="Z3" i="8" s="1"/>
  <c r="BJ41" i="2"/>
  <c r="BI3" i="8" s="1"/>
  <c r="BH41" i="2"/>
  <c r="BG3" i="8" s="1"/>
  <c r="BF41" i="2"/>
  <c r="BE3" i="8" s="1"/>
  <c r="BD41" i="2"/>
  <c r="BC3" i="8" s="1"/>
  <c r="BB41" i="2"/>
  <c r="BA3" i="8" s="1"/>
  <c r="AZ41" i="2"/>
  <c r="AY3" i="8" s="1"/>
  <c r="AW41" i="2"/>
  <c r="AV3" i="8" s="1"/>
  <c r="AK41" i="2"/>
  <c r="AJ3" i="8" s="1"/>
  <c r="AI41" i="2"/>
  <c r="AH3" i="8" s="1"/>
  <c r="AG41" i="2"/>
  <c r="AF3" i="8" s="1"/>
  <c r="AE41" i="2"/>
  <c r="AD3" i="8" s="1"/>
  <c r="AC41" i="2"/>
  <c r="AB3" i="8" s="1"/>
  <c r="BN41" i="2"/>
  <c r="BM3" i="8" s="1"/>
  <c r="BL41" i="2"/>
  <c r="BK3" i="8" s="1"/>
  <c r="BK41" i="2"/>
  <c r="BJ3" i="8" s="1"/>
  <c r="BI41" i="2"/>
  <c r="BH3" i="8" s="1"/>
  <c r="BG41" i="2"/>
  <c r="BF3" i="8" s="1"/>
  <c r="BE41" i="2"/>
  <c r="BD3" i="8" s="1"/>
  <c r="BC41" i="2"/>
  <c r="BB3" i="8" s="1"/>
  <c r="BA41" i="2"/>
  <c r="AZ3" i="8" s="1"/>
  <c r="AY41" i="2"/>
  <c r="AX3" i="8" s="1"/>
  <c r="AV41" i="2"/>
  <c r="AU3" i="8" s="1"/>
  <c r="AL41" i="2"/>
  <c r="AK3" i="8" s="1"/>
  <c r="AJ41" i="2"/>
  <c r="AI3" i="8" s="1"/>
  <c r="AH41" i="2"/>
  <c r="AG3" i="8" s="1"/>
  <c r="AF41" i="2"/>
  <c r="AE3" i="8" s="1"/>
  <c r="AD41" i="2"/>
  <c r="AC3" i="8" s="1"/>
  <c r="AB41" i="2"/>
  <c r="AA3" i="8" s="1"/>
  <c r="BO41" i="2"/>
  <c r="BN3" i="8" s="1"/>
  <c r="BM41" i="2"/>
  <c r="BL3" i="8" s="1"/>
  <c r="BU3" i="8"/>
  <c r="W14" i="1"/>
  <c r="N28" i="1"/>
  <c r="AE15" i="1"/>
  <c r="BR2" i="3"/>
  <c r="BQ2" i="3"/>
  <c r="CF27" i="21"/>
  <c r="CF28" i="21" s="1"/>
  <c r="M27" i="21"/>
  <c r="M28" i="21" s="1"/>
  <c r="CN27" i="21"/>
  <c r="CN28" i="21" s="1"/>
  <c r="N27" i="21"/>
  <c r="N28" i="21" s="1"/>
  <c r="CC27" i="21"/>
  <c r="CC28" i="21" s="1"/>
  <c r="AI27" i="21"/>
  <c r="AI28" i="21" s="1"/>
  <c r="AY27" i="21"/>
  <c r="AY28" i="21" s="1"/>
  <c r="I27" i="21"/>
  <c r="I28" i="21" s="1"/>
  <c r="BY27" i="21"/>
  <c r="BY28" i="21" s="1"/>
  <c r="R27" i="21"/>
  <c r="R28" i="21" s="1"/>
  <c r="BA27" i="21"/>
  <c r="BA28" i="21" s="1"/>
  <c r="X27" i="21"/>
  <c r="X28" i="21" s="1"/>
  <c r="CK27" i="21"/>
  <c r="CK28" i="21" s="1"/>
  <c r="CD27" i="21"/>
  <c r="CD28" i="21" s="1"/>
  <c r="BH27" i="21"/>
  <c r="BH28" i="21" s="1"/>
  <c r="T27" i="21"/>
  <c r="T28" i="21" s="1"/>
  <c r="AP27" i="21"/>
  <c r="AP28" i="21" s="1"/>
  <c r="BV27" i="21"/>
  <c r="BV28" i="21" s="1"/>
  <c r="BT27" i="21"/>
  <c r="BT28" i="21" s="1"/>
  <c r="BR27" i="21"/>
  <c r="BR28" i="21" s="1"/>
  <c r="CM27" i="21"/>
  <c r="CM28" i="21" s="1"/>
  <c r="V27" i="21"/>
  <c r="V28" i="21" s="1"/>
  <c r="AR27" i="21"/>
  <c r="AR28" i="21" s="1"/>
  <c r="Q27" i="21"/>
  <c r="Q28" i="21" s="1"/>
  <c r="O27" i="21"/>
  <c r="O28" i="21" s="1"/>
  <c r="AS27" i="21"/>
  <c r="AS28" i="21" s="1"/>
  <c r="AZ27" i="21"/>
  <c r="AZ28" i="21" s="1"/>
  <c r="BU27" i="21"/>
  <c r="BU28" i="21" s="1"/>
  <c r="K27" i="21"/>
  <c r="K28" i="21" s="1"/>
  <c r="BC27" i="21"/>
  <c r="BC28" i="21" s="1"/>
  <c r="U27" i="21"/>
  <c r="U28" i="21" s="1"/>
  <c r="P27" i="21"/>
  <c r="P28" i="21" s="1"/>
  <c r="AQ27" i="21"/>
  <c r="AQ28" i="21" s="1"/>
  <c r="BW27" i="21"/>
  <c r="BW28" i="21" s="1"/>
  <c r="AO27" i="21"/>
  <c r="AO28" i="21" s="1"/>
  <c r="BS27" i="21"/>
  <c r="BS28" i="21" s="1"/>
  <c r="L27" i="21"/>
  <c r="L28" i="21" s="1"/>
  <c r="J27" i="21"/>
  <c r="J28" i="21" s="1"/>
  <c r="W27" i="21"/>
  <c r="W28" i="21" s="1"/>
  <c r="BX27" i="21"/>
  <c r="BX28" i="21" s="1"/>
  <c r="S27" i="21"/>
  <c r="S28" i="21" s="1"/>
  <c r="BB27" i="21"/>
  <c r="BB28" i="21" s="1"/>
  <c r="AJ27" i="21"/>
  <c r="AJ28" i="21" s="1"/>
  <c r="M50" i="8"/>
  <c r="L51" i="8"/>
  <c r="AZ2" i="26"/>
  <c r="AX2" i="26"/>
  <c r="AV2" i="26"/>
  <c r="AT2" i="26"/>
  <c r="AR2" i="26"/>
  <c r="AP2" i="26"/>
  <c r="AN2" i="26"/>
  <c r="AL2" i="26"/>
  <c r="AJ2" i="26"/>
  <c r="AH2" i="26"/>
  <c r="AF2" i="26"/>
  <c r="AD2" i="26"/>
  <c r="BB1" i="26"/>
  <c r="AX1" i="26"/>
  <c r="AT1" i="26"/>
  <c r="AP1" i="26"/>
  <c r="AL1" i="26"/>
  <c r="AH1" i="26"/>
  <c r="BI2" i="26"/>
  <c r="BG2" i="26"/>
  <c r="BE2" i="26"/>
  <c r="BC2" i="26"/>
  <c r="BA2" i="26"/>
  <c r="BI1" i="26"/>
  <c r="BG1" i="26"/>
  <c r="BE1" i="26"/>
  <c r="BC1" i="26"/>
  <c r="L2" i="26"/>
  <c r="AY2" i="26"/>
  <c r="AW2" i="26"/>
  <c r="AU2" i="26"/>
  <c r="AS2" i="26"/>
  <c r="AQ2" i="26"/>
  <c r="AO2" i="26"/>
  <c r="AM2" i="26"/>
  <c r="AK2" i="26"/>
  <c r="AI2" i="26"/>
  <c r="AG2" i="26"/>
  <c r="AE2" i="26"/>
  <c r="AI1" i="26"/>
  <c r="BH2" i="26"/>
  <c r="BF2" i="26"/>
  <c r="BD2" i="26"/>
  <c r="BB2" i="26"/>
  <c r="BH1" i="26"/>
  <c r="BF1" i="26"/>
  <c r="BD1" i="26"/>
  <c r="E15" i="28"/>
  <c r="F15" i="28" s="1"/>
  <c r="AW1" i="26"/>
  <c r="AO1" i="26"/>
  <c r="AK1" i="26"/>
  <c r="BA1" i="26"/>
  <c r="AY1" i="26"/>
  <c r="AU1" i="26"/>
  <c r="AS1" i="26"/>
  <c r="AR1" i="26"/>
  <c r="AN1" i="26"/>
  <c r="AF1" i="26"/>
  <c r="L1" i="26"/>
  <c r="BS34" i="1"/>
  <c r="AL3" i="6"/>
  <c r="X3" i="6"/>
  <c r="BT14" i="1"/>
  <c r="G15" i="28" l="1"/>
  <c r="BT14" i="2"/>
  <c r="E14" i="2"/>
  <c r="W14" i="2"/>
  <c r="AT14" i="2"/>
  <c r="AE15" i="2"/>
  <c r="N15" i="2"/>
  <c r="BS34" i="2"/>
  <c r="BG34" i="2"/>
  <c r="N28" i="2"/>
  <c r="BS28" i="2"/>
  <c r="BK11" i="8"/>
  <c r="BK8" i="8"/>
  <c r="AY11" i="8"/>
  <c r="AY8" i="8"/>
  <c r="BA10" i="8"/>
  <c r="BA11" i="8"/>
  <c r="BA13" i="8"/>
  <c r="BA8" i="8"/>
  <c r="BC11" i="8"/>
  <c r="BC8" i="8"/>
  <c r="BE11" i="8"/>
  <c r="BE8" i="8"/>
  <c r="BG10" i="8"/>
  <c r="BG11" i="8"/>
  <c r="BG13" i="8"/>
  <c r="BG8" i="8"/>
  <c r="BI10" i="8"/>
  <c r="BI13" i="8"/>
  <c r="BM10" i="8"/>
  <c r="BM13" i="8"/>
  <c r="AA11" i="8"/>
  <c r="AA8" i="8"/>
  <c r="AC9" i="8"/>
  <c r="AC12" i="8"/>
  <c r="AE9" i="8"/>
  <c r="AE11" i="8"/>
  <c r="AE12" i="8"/>
  <c r="AE8" i="8"/>
  <c r="AG9" i="8"/>
  <c r="AG12" i="8"/>
  <c r="AI9" i="8"/>
  <c r="AI11" i="8"/>
  <c r="AI12" i="8"/>
  <c r="AI8" i="8"/>
  <c r="AK11" i="8"/>
  <c r="AK8" i="8"/>
  <c r="AU10" i="8"/>
  <c r="AU13" i="8"/>
  <c r="BL8" i="8"/>
  <c r="BL11" i="8"/>
  <c r="BN10" i="8"/>
  <c r="BN13" i="8"/>
  <c r="AB9" i="8"/>
  <c r="AB12" i="8"/>
  <c r="AD8" i="8"/>
  <c r="AD9" i="8"/>
  <c r="AD11" i="8"/>
  <c r="AD12" i="8"/>
  <c r="AF8" i="8"/>
  <c r="AF9" i="8"/>
  <c r="AF11" i="8"/>
  <c r="AF12" i="8"/>
  <c r="AH9" i="8"/>
  <c r="AH12" i="8"/>
  <c r="AJ8" i="8"/>
  <c r="AJ9" i="8"/>
  <c r="AJ11" i="8"/>
  <c r="AJ12" i="8"/>
  <c r="AV8" i="8"/>
  <c r="AV10" i="8"/>
  <c r="AV11" i="8"/>
  <c r="AV13" i="8"/>
  <c r="Z9" i="8"/>
  <c r="Z12" i="8"/>
  <c r="AX8" i="8"/>
  <c r="AX10" i="8"/>
  <c r="AX11" i="8"/>
  <c r="AX13" i="8"/>
  <c r="AZ8" i="8"/>
  <c r="AZ11" i="8"/>
  <c r="BB8" i="8"/>
  <c r="BB11" i="8"/>
  <c r="BD8" i="8"/>
  <c r="BD11" i="8"/>
  <c r="BF10" i="8"/>
  <c r="BF13" i="8"/>
  <c r="BH8" i="8"/>
  <c r="BH10" i="8"/>
  <c r="BH11" i="8"/>
  <c r="BH13" i="8"/>
  <c r="BJ10" i="8"/>
  <c r="BJ13" i="8"/>
  <c r="N29" i="1"/>
  <c r="W15" i="1"/>
  <c r="N50" i="8"/>
  <c r="M51" i="8"/>
  <c r="BS6" i="26"/>
  <c r="BS7" i="26"/>
  <c r="BB7" i="26"/>
  <c r="BB6" i="26"/>
  <c r="BD6" i="26"/>
  <c r="BD7" i="26"/>
  <c r="BF7" i="26"/>
  <c r="BF6" i="26"/>
  <c r="BH6" i="26"/>
  <c r="BH7" i="26"/>
  <c r="BN6" i="26"/>
  <c r="BN7" i="26"/>
  <c r="BP7" i="26"/>
  <c r="BP6" i="26"/>
  <c r="BT7" i="26"/>
  <c r="BT6" i="26"/>
  <c r="L7" i="26"/>
  <c r="L6" i="26"/>
  <c r="BQ6" i="26"/>
  <c r="BQ7" i="26"/>
  <c r="BR7" i="26"/>
  <c r="BR6" i="26"/>
  <c r="AE7" i="26"/>
  <c r="AE6" i="26"/>
  <c r="AI7" i="26"/>
  <c r="AI6" i="26"/>
  <c r="AK6" i="26"/>
  <c r="AK7" i="26"/>
  <c r="AM6" i="26"/>
  <c r="AM7" i="26"/>
  <c r="AS6" i="26"/>
  <c r="AS7" i="26"/>
  <c r="AU7" i="26"/>
  <c r="AU6" i="26"/>
  <c r="AW6" i="26"/>
  <c r="AW7" i="26"/>
  <c r="AY7" i="26"/>
  <c r="AY6" i="26"/>
  <c r="BA6" i="26"/>
  <c r="BA7" i="26"/>
  <c r="BC7" i="26"/>
  <c r="BC6" i="26"/>
  <c r="BE6" i="26"/>
  <c r="BE7" i="26"/>
  <c r="BG7" i="26"/>
  <c r="BG6" i="26"/>
  <c r="BK7" i="26"/>
  <c r="BK6" i="26"/>
  <c r="BM6" i="26"/>
  <c r="BM7" i="26"/>
  <c r="BO7" i="26"/>
  <c r="BO6" i="26"/>
  <c r="AD6" i="26"/>
  <c r="AD7" i="26"/>
  <c r="AF6" i="26"/>
  <c r="AF7" i="26"/>
  <c r="AJ7" i="26"/>
  <c r="AJ6" i="26"/>
  <c r="AL7" i="26"/>
  <c r="AL6" i="26"/>
  <c r="AN6" i="26"/>
  <c r="AN7" i="26"/>
  <c r="AP6" i="26"/>
  <c r="AP7" i="26"/>
  <c r="AR6" i="26"/>
  <c r="AR7" i="26"/>
  <c r="AT6" i="26"/>
  <c r="AT7" i="26"/>
  <c r="AV7" i="26"/>
  <c r="AV6" i="26"/>
  <c r="AX6" i="26"/>
  <c r="AX7" i="26"/>
  <c r="AZ6" i="26"/>
  <c r="AZ7" i="26"/>
  <c r="W4" i="6"/>
  <c r="U4" i="6"/>
  <c r="T4" i="6"/>
  <c r="V4" i="6"/>
  <c r="BT15" i="1"/>
  <c r="R37" i="1"/>
  <c r="AQ41" i="2" s="1"/>
  <c r="AP3" i="8" s="1"/>
  <c r="S37" i="1"/>
  <c r="BT41" i="2" s="1"/>
  <c r="BS3" i="8" s="1"/>
  <c r="BS10" i="8" s="1"/>
  <c r="T37" i="1"/>
  <c r="AR41" i="2" s="1"/>
  <c r="AQ3" i="8" s="1"/>
  <c r="U37" i="1"/>
  <c r="BU41" i="2" s="1"/>
  <c r="BT3" i="8" s="1"/>
  <c r="BT9" i="8" s="1"/>
  <c r="V37" i="1"/>
  <c r="AS41" i="2" s="1"/>
  <c r="AR3" i="8" s="1"/>
  <c r="W37" i="1"/>
  <c r="AT41" i="2" s="1"/>
  <c r="AS3" i="8" s="1"/>
  <c r="X37" i="1"/>
  <c r="AU41" i="2" s="1"/>
  <c r="AT3" i="8" s="1"/>
  <c r="Y37" i="1"/>
  <c r="Z37" i="1"/>
  <c r="S2" i="3"/>
  <c r="X2" i="3"/>
  <c r="Z2" i="3"/>
  <c r="N2" i="6"/>
  <c r="BT12" i="8" l="1"/>
  <c r="AS11" i="8"/>
  <c r="AS8" i="8"/>
  <c r="AR10" i="8"/>
  <c r="AP10" i="8"/>
  <c r="AQ8" i="8"/>
  <c r="AT8" i="8"/>
  <c r="AR8" i="8"/>
  <c r="AP8" i="8"/>
  <c r="BS13" i="8"/>
  <c r="W15" i="2"/>
  <c r="AT15" i="2"/>
  <c r="AR13" i="8"/>
  <c r="AP13" i="8"/>
  <c r="AQ11" i="8"/>
  <c r="BT15" i="2"/>
  <c r="E15" i="2"/>
  <c r="N29" i="2"/>
  <c r="BS29" i="2"/>
  <c r="AT11" i="8"/>
  <c r="AR11" i="8"/>
  <c r="AP11" i="8"/>
  <c r="Z41" i="2"/>
  <c r="Y3" i="8" s="1"/>
  <c r="X41" i="2"/>
  <c r="W3" i="8" s="1"/>
  <c r="V41" i="2"/>
  <c r="U3" i="8" s="1"/>
  <c r="T41" i="2"/>
  <c r="S3" i="8" s="1"/>
  <c r="R41" i="2"/>
  <c r="Y41" i="2"/>
  <c r="X3" i="8" s="1"/>
  <c r="W41" i="2"/>
  <c r="V3" i="8" s="1"/>
  <c r="U41" i="2"/>
  <c r="T3" i="8" s="1"/>
  <c r="S41" i="2"/>
  <c r="R3" i="8" s="1"/>
  <c r="N30" i="1"/>
  <c r="BO27" i="21"/>
  <c r="BO28" i="21" s="1"/>
  <c r="H27" i="21"/>
  <c r="H28" i="21" s="1"/>
  <c r="BM27" i="21"/>
  <c r="BM28" i="21" s="1"/>
  <c r="BP27" i="21"/>
  <c r="BP28" i="21" s="1"/>
  <c r="BQ27" i="21"/>
  <c r="BQ28" i="21" s="1"/>
  <c r="BG27" i="21"/>
  <c r="BG28" i="21" s="1"/>
  <c r="AV27" i="21"/>
  <c r="AV28" i="21" s="1"/>
  <c r="AW27" i="21"/>
  <c r="AW28" i="21" s="1"/>
  <c r="CL27" i="21"/>
  <c r="CL28" i="21" s="1"/>
  <c r="AX27" i="21"/>
  <c r="AX28" i="21" s="1"/>
  <c r="CB27" i="21"/>
  <c r="CB28" i="21" s="1"/>
  <c r="BN27" i="21"/>
  <c r="BN28" i="21" s="1"/>
  <c r="O50" i="8"/>
  <c r="N51" i="8"/>
  <c r="AB2" i="26"/>
  <c r="Z2" i="26"/>
  <c r="X2" i="26"/>
  <c r="V2" i="26"/>
  <c r="T2" i="26"/>
  <c r="R2" i="26"/>
  <c r="AC2" i="26"/>
  <c r="AA2" i="26"/>
  <c r="Y2" i="26"/>
  <c r="W2" i="26"/>
  <c r="U2" i="26"/>
  <c r="S2" i="26"/>
  <c r="X4" i="6"/>
  <c r="AM1" i="26"/>
  <c r="AQ1" i="26"/>
  <c r="R1" i="26"/>
  <c r="AB1" i="26"/>
  <c r="X1" i="26"/>
  <c r="T1" i="26"/>
  <c r="AE1" i="26"/>
  <c r="W1" i="26"/>
  <c r="AD1" i="26"/>
  <c r="Z1" i="26"/>
  <c r="V1" i="26"/>
  <c r="AC1" i="26"/>
  <c r="Y1" i="26"/>
  <c r="U1" i="26"/>
  <c r="S14" i="26" l="1"/>
  <c r="T14" i="26"/>
  <c r="BS31" i="2"/>
  <c r="BS30" i="2"/>
  <c r="N30" i="2"/>
  <c r="N31" i="2"/>
  <c r="R9" i="8"/>
  <c r="R12" i="8"/>
  <c r="T9" i="8"/>
  <c r="T12" i="8"/>
  <c r="V8" i="8"/>
  <c r="V11" i="8"/>
  <c r="X8" i="8"/>
  <c r="X9" i="8"/>
  <c r="X11" i="8"/>
  <c r="X12" i="8"/>
  <c r="Q3" i="8"/>
  <c r="S11" i="8"/>
  <c r="S8" i="8"/>
  <c r="U11" i="8"/>
  <c r="U8" i="8"/>
  <c r="W11" i="8"/>
  <c r="W8" i="8"/>
  <c r="Y9" i="8"/>
  <c r="Y11" i="8"/>
  <c r="Y12" i="8"/>
  <c r="Y8" i="8"/>
  <c r="P50" i="8"/>
  <c r="O51" i="8"/>
  <c r="U6" i="26"/>
  <c r="U7" i="26"/>
  <c r="W7" i="26"/>
  <c r="W6" i="26"/>
  <c r="Y6" i="26"/>
  <c r="Y7" i="26"/>
  <c r="AC6" i="26"/>
  <c r="AC7" i="26"/>
  <c r="R6" i="26"/>
  <c r="R7" i="26"/>
  <c r="V6" i="26"/>
  <c r="V7" i="26"/>
  <c r="X6" i="26"/>
  <c r="X7" i="26"/>
  <c r="AB6" i="26"/>
  <c r="AB7" i="26"/>
  <c r="Q11" i="8" l="1"/>
  <c r="Q8" i="8"/>
  <c r="Q50" i="8"/>
  <c r="P51" i="8"/>
  <c r="M2" i="6"/>
  <c r="R50" i="8" l="1"/>
  <c r="R51" i="8" s="1"/>
  <c r="Q51" i="8"/>
  <c r="O2" i="6"/>
  <c r="O3" i="6" s="1"/>
  <c r="M3" i="6"/>
  <c r="N3" i="6"/>
  <c r="N37" i="1"/>
  <c r="BS41" i="2" s="1"/>
  <c r="BR3" i="8" s="1"/>
  <c r="O37" i="1"/>
  <c r="AP41" i="2" s="1"/>
  <c r="AO3" i="8" s="1"/>
  <c r="P37" i="1"/>
  <c r="Q37" i="1"/>
  <c r="M53" i="20"/>
  <c r="L53" i="20"/>
  <c r="K53" i="20"/>
  <c r="J53" i="20"/>
  <c r="I53" i="20"/>
  <c r="H53" i="20"/>
  <c r="G53" i="20"/>
  <c r="F53" i="20"/>
  <c r="E53" i="20"/>
  <c r="D53" i="20"/>
  <c r="C53" i="20"/>
  <c r="B53" i="20"/>
  <c r="M4" i="20"/>
  <c r="M49" i="20" s="1"/>
  <c r="L4" i="20"/>
  <c r="L7" i="20" s="1"/>
  <c r="K4" i="20"/>
  <c r="K22" i="20" s="1"/>
  <c r="J4" i="20"/>
  <c r="J9" i="20" s="1"/>
  <c r="I4" i="20"/>
  <c r="I52" i="20" s="1"/>
  <c r="H4" i="20"/>
  <c r="H7" i="20" s="1"/>
  <c r="G4" i="20"/>
  <c r="F4" i="20"/>
  <c r="F8" i="20" s="1"/>
  <c r="E4" i="20"/>
  <c r="E51" i="20" s="1"/>
  <c r="D4" i="20"/>
  <c r="D7" i="20" s="1"/>
  <c r="C4" i="20"/>
  <c r="C24" i="20" s="1"/>
  <c r="B4" i="20"/>
  <c r="B10" i="20" s="1"/>
  <c r="B35" i="2"/>
  <c r="C35" i="2"/>
  <c r="B56" i="3"/>
  <c r="C56" i="3"/>
  <c r="AO10" i="8" l="1"/>
  <c r="AO11" i="8"/>
  <c r="AO13" i="8"/>
  <c r="AO8" i="8"/>
  <c r="BR10" i="8"/>
  <c r="BR13" i="8"/>
  <c r="Q41" i="2"/>
  <c r="O41" i="2"/>
  <c r="N3" i="8" s="1"/>
  <c r="P41" i="2"/>
  <c r="N41" i="2"/>
  <c r="B8" i="20"/>
  <c r="F9" i="20"/>
  <c r="J8" i="20"/>
  <c r="G23" i="20"/>
  <c r="I7" i="20"/>
  <c r="H8" i="20"/>
  <c r="D9" i="20"/>
  <c r="L9" i="20"/>
  <c r="D8" i="20"/>
  <c r="L8" i="20"/>
  <c r="H9" i="20"/>
  <c r="D10" i="20"/>
  <c r="E7" i="20"/>
  <c r="B9" i="20"/>
  <c r="E6" i="20"/>
  <c r="I6" i="20"/>
  <c r="C7" i="20"/>
  <c r="G7" i="20"/>
  <c r="K7" i="20"/>
  <c r="K10" i="20"/>
  <c r="G11" i="20"/>
  <c r="C12" i="20"/>
  <c r="K12" i="20"/>
  <c r="G13" i="20"/>
  <c r="C14" i="20"/>
  <c r="K14" i="20"/>
  <c r="G15" i="20"/>
  <c r="C16" i="20"/>
  <c r="K16" i="20"/>
  <c r="G17" i="20"/>
  <c r="C18" i="20"/>
  <c r="K18" i="20"/>
  <c r="G19" i="20"/>
  <c r="C20" i="20"/>
  <c r="K20" i="20"/>
  <c r="G21" i="20"/>
  <c r="C22" i="20"/>
  <c r="M24" i="20"/>
  <c r="E26" i="20"/>
  <c r="I27" i="20"/>
  <c r="M28" i="20"/>
  <c r="E30" i="20"/>
  <c r="I31" i="20"/>
  <c r="M32" i="20"/>
  <c r="E34" i="20"/>
  <c r="I35" i="20"/>
  <c r="M36" i="20"/>
  <c r="E38" i="20"/>
  <c r="I39" i="20"/>
  <c r="M40" i="20"/>
  <c r="E42" i="20"/>
  <c r="I43" i="20"/>
  <c r="M44" i="20"/>
  <c r="E46" i="20"/>
  <c r="I47" i="20"/>
  <c r="M48" i="20"/>
  <c r="E50" i="20"/>
  <c r="I51" i="20"/>
  <c r="M52" i="20"/>
  <c r="B52" i="20"/>
  <c r="B51" i="20"/>
  <c r="B50" i="20"/>
  <c r="B49" i="20"/>
  <c r="B48" i="20"/>
  <c r="B47" i="20"/>
  <c r="B46" i="20"/>
  <c r="B45" i="20"/>
  <c r="B44" i="20"/>
  <c r="B43" i="20"/>
  <c r="B42" i="20"/>
  <c r="B41" i="20"/>
  <c r="B40" i="20"/>
  <c r="B39" i="20"/>
  <c r="B38" i="20"/>
  <c r="B37" i="20"/>
  <c r="B36" i="20"/>
  <c r="B35" i="20"/>
  <c r="B34" i="20"/>
  <c r="B33" i="20"/>
  <c r="B32" i="20"/>
  <c r="B31" i="20"/>
  <c r="B30" i="20"/>
  <c r="B29" i="20"/>
  <c r="B28" i="20"/>
  <c r="B27" i="20"/>
  <c r="B26" i="20"/>
  <c r="B25" i="20"/>
  <c r="B24" i="20"/>
  <c r="B23" i="20"/>
  <c r="B22" i="20"/>
  <c r="B21" i="20"/>
  <c r="B20" i="20"/>
  <c r="B19" i="20"/>
  <c r="B18" i="20"/>
  <c r="B17" i="20"/>
  <c r="B16" i="20"/>
  <c r="B15" i="20"/>
  <c r="B14" i="20"/>
  <c r="B13" i="20"/>
  <c r="B12" i="20"/>
  <c r="B11" i="20"/>
  <c r="F52" i="20"/>
  <c r="F51" i="20"/>
  <c r="F50" i="20"/>
  <c r="F49" i="20"/>
  <c r="F48" i="20"/>
  <c r="F47" i="20"/>
  <c r="F46" i="20"/>
  <c r="F45" i="20"/>
  <c r="F44" i="20"/>
  <c r="F43" i="20"/>
  <c r="F42" i="20"/>
  <c r="F41" i="20"/>
  <c r="F40" i="20"/>
  <c r="F39" i="20"/>
  <c r="F38" i="20"/>
  <c r="F37" i="20"/>
  <c r="F36" i="20"/>
  <c r="F35" i="20"/>
  <c r="F34" i="20"/>
  <c r="F33" i="20"/>
  <c r="F32" i="20"/>
  <c r="F31" i="20"/>
  <c r="F30" i="20"/>
  <c r="F29" i="20"/>
  <c r="F28" i="20"/>
  <c r="F27" i="20"/>
  <c r="F26" i="20"/>
  <c r="F25" i="20"/>
  <c r="F24" i="20"/>
  <c r="F23" i="20"/>
  <c r="F22" i="20"/>
  <c r="F21" i="20"/>
  <c r="F20" i="20"/>
  <c r="F19" i="20"/>
  <c r="F18" i="20"/>
  <c r="F17" i="20"/>
  <c r="F16" i="20"/>
  <c r="F15" i="20"/>
  <c r="F14" i="20"/>
  <c r="F13" i="20"/>
  <c r="F12" i="20"/>
  <c r="F11" i="20"/>
  <c r="F10" i="20"/>
  <c r="J52" i="20"/>
  <c r="J51" i="20"/>
  <c r="J50" i="20"/>
  <c r="J49" i="20"/>
  <c r="J48" i="20"/>
  <c r="J47" i="20"/>
  <c r="J46" i="20"/>
  <c r="J45" i="20"/>
  <c r="J44" i="20"/>
  <c r="J43" i="20"/>
  <c r="J42" i="20"/>
  <c r="J41" i="20"/>
  <c r="J40" i="20"/>
  <c r="J39" i="20"/>
  <c r="J38" i="20"/>
  <c r="J37" i="20"/>
  <c r="J36" i="20"/>
  <c r="J35" i="20"/>
  <c r="J34" i="20"/>
  <c r="J33" i="20"/>
  <c r="J32" i="20"/>
  <c r="J31" i="20"/>
  <c r="J30" i="20"/>
  <c r="J29" i="20"/>
  <c r="J28" i="20"/>
  <c r="J27" i="20"/>
  <c r="J26" i="20"/>
  <c r="J25" i="20"/>
  <c r="J24" i="20"/>
  <c r="J23" i="20"/>
  <c r="J22" i="20"/>
  <c r="J21" i="20"/>
  <c r="J20" i="20"/>
  <c r="J19" i="20"/>
  <c r="J18" i="20"/>
  <c r="J17" i="20"/>
  <c r="J16" i="20"/>
  <c r="J15" i="20"/>
  <c r="J14" i="20"/>
  <c r="J13" i="20"/>
  <c r="J12" i="20"/>
  <c r="J11" i="20"/>
  <c r="J10" i="20"/>
  <c r="B6" i="20"/>
  <c r="F6" i="20"/>
  <c r="J6" i="20"/>
  <c r="E8" i="20"/>
  <c r="I8" i="20"/>
  <c r="M8" i="20"/>
  <c r="E9" i="20"/>
  <c r="I9" i="20"/>
  <c r="M9" i="20"/>
  <c r="E10" i="20"/>
  <c r="M10" i="20"/>
  <c r="I11" i="20"/>
  <c r="E12" i="20"/>
  <c r="M12" i="20"/>
  <c r="I13" i="20"/>
  <c r="E14" i="20"/>
  <c r="M14" i="20"/>
  <c r="I15" i="20"/>
  <c r="E16" i="20"/>
  <c r="M16" i="20"/>
  <c r="I17" i="20"/>
  <c r="E18" i="20"/>
  <c r="M18" i="20"/>
  <c r="I19" i="20"/>
  <c r="E20" i="20"/>
  <c r="M20" i="20"/>
  <c r="I21" i="20"/>
  <c r="E22" i="20"/>
  <c r="M22" i="20"/>
  <c r="I23" i="20"/>
  <c r="E24" i="20"/>
  <c r="E25" i="20"/>
  <c r="I26" i="20"/>
  <c r="M27" i="20"/>
  <c r="E29" i="20"/>
  <c r="I30" i="20"/>
  <c r="M31" i="20"/>
  <c r="E33" i="20"/>
  <c r="I34" i="20"/>
  <c r="M35" i="20"/>
  <c r="E37" i="20"/>
  <c r="I38" i="20"/>
  <c r="M39" i="20"/>
  <c r="E41" i="20"/>
  <c r="I42" i="20"/>
  <c r="M43" i="20"/>
  <c r="E45" i="20"/>
  <c r="I46" i="20"/>
  <c r="M47" i="20"/>
  <c r="E49" i="20"/>
  <c r="I50" i="20"/>
  <c r="M51" i="20"/>
  <c r="C52" i="20"/>
  <c r="C50" i="20"/>
  <c r="C48" i="20"/>
  <c r="C46" i="20"/>
  <c r="C44" i="20"/>
  <c r="C42" i="20"/>
  <c r="C40" i="20"/>
  <c r="C38" i="20"/>
  <c r="C36" i="20"/>
  <c r="C34" i="20"/>
  <c r="C32" i="20"/>
  <c r="C30" i="20"/>
  <c r="C28" i="20"/>
  <c r="C26" i="20"/>
  <c r="C51" i="20"/>
  <c r="C49" i="20"/>
  <c r="C47" i="20"/>
  <c r="C45" i="20"/>
  <c r="C43" i="20"/>
  <c r="C41" i="20"/>
  <c r="C39" i="20"/>
  <c r="C37" i="20"/>
  <c r="C35" i="20"/>
  <c r="C33" i="20"/>
  <c r="C31" i="20"/>
  <c r="C29" i="20"/>
  <c r="C27" i="20"/>
  <c r="C25" i="20"/>
  <c r="G51" i="20"/>
  <c r="G49" i="20"/>
  <c r="G47" i="20"/>
  <c r="G45" i="20"/>
  <c r="G43" i="20"/>
  <c r="G41" i="20"/>
  <c r="G39" i="20"/>
  <c r="G37" i="20"/>
  <c r="G35" i="20"/>
  <c r="G33" i="20"/>
  <c r="G31" i="20"/>
  <c r="G29" i="20"/>
  <c r="G27" i="20"/>
  <c r="G25" i="20"/>
  <c r="G52" i="20"/>
  <c r="G50" i="20"/>
  <c r="G48" i="20"/>
  <c r="G46" i="20"/>
  <c r="G44" i="20"/>
  <c r="G42" i="20"/>
  <c r="G40" i="20"/>
  <c r="G38" i="20"/>
  <c r="G36" i="20"/>
  <c r="G34" i="20"/>
  <c r="G32" i="20"/>
  <c r="G30" i="20"/>
  <c r="G28" i="20"/>
  <c r="G26" i="20"/>
  <c r="K52" i="20"/>
  <c r="K50" i="20"/>
  <c r="K48" i="20"/>
  <c r="K46" i="20"/>
  <c r="K44" i="20"/>
  <c r="K42" i="20"/>
  <c r="K40" i="20"/>
  <c r="K38" i="20"/>
  <c r="K36" i="20"/>
  <c r="K34" i="20"/>
  <c r="K32" i="20"/>
  <c r="K30" i="20"/>
  <c r="K28" i="20"/>
  <c r="K26" i="20"/>
  <c r="K24" i="20"/>
  <c r="K51" i="20"/>
  <c r="K49" i="20"/>
  <c r="K47" i="20"/>
  <c r="K45" i="20"/>
  <c r="K43" i="20"/>
  <c r="K41" i="20"/>
  <c r="K39" i="20"/>
  <c r="K37" i="20"/>
  <c r="K35" i="20"/>
  <c r="K33" i="20"/>
  <c r="K31" i="20"/>
  <c r="K29" i="20"/>
  <c r="K27" i="20"/>
  <c r="K25" i="20"/>
  <c r="C6" i="20"/>
  <c r="G6" i="20"/>
  <c r="K6" i="20"/>
  <c r="G10" i="20"/>
  <c r="C11" i="20"/>
  <c r="K11" i="20"/>
  <c r="G12" i="20"/>
  <c r="C13" i="20"/>
  <c r="K13" i="20"/>
  <c r="G14" i="20"/>
  <c r="C15" i="20"/>
  <c r="K15" i="20"/>
  <c r="G16" i="20"/>
  <c r="C17" i="20"/>
  <c r="K17" i="20"/>
  <c r="G18" i="20"/>
  <c r="C19" i="20"/>
  <c r="K19" i="20"/>
  <c r="G20" i="20"/>
  <c r="C21" i="20"/>
  <c r="K21" i="20"/>
  <c r="G22" i="20"/>
  <c r="C23" i="20"/>
  <c r="K23" i="20"/>
  <c r="G24" i="20"/>
  <c r="I25" i="20"/>
  <c r="M26" i="20"/>
  <c r="E28" i="20"/>
  <c r="I29" i="20"/>
  <c r="M30" i="20"/>
  <c r="E32" i="20"/>
  <c r="I33" i="20"/>
  <c r="M34" i="20"/>
  <c r="E36" i="20"/>
  <c r="I37" i="20"/>
  <c r="M38" i="20"/>
  <c r="E40" i="20"/>
  <c r="I41" i="20"/>
  <c r="M42" i="20"/>
  <c r="E44" i="20"/>
  <c r="I45" i="20"/>
  <c r="M46" i="20"/>
  <c r="E48" i="20"/>
  <c r="I49" i="20"/>
  <c r="M50" i="20"/>
  <c r="E52" i="20"/>
  <c r="D52" i="20"/>
  <c r="D51" i="20"/>
  <c r="D50" i="20"/>
  <c r="D49" i="20"/>
  <c r="D48" i="20"/>
  <c r="D47" i="20"/>
  <c r="D46" i="20"/>
  <c r="D45" i="20"/>
  <c r="D44" i="20"/>
  <c r="D43" i="20"/>
  <c r="D42" i="20"/>
  <c r="D41" i="20"/>
  <c r="D40" i="20"/>
  <c r="D39" i="20"/>
  <c r="D38" i="20"/>
  <c r="D37" i="20"/>
  <c r="D36" i="20"/>
  <c r="D35" i="20"/>
  <c r="D34" i="20"/>
  <c r="D33" i="20"/>
  <c r="D32" i="20"/>
  <c r="D31" i="20"/>
  <c r="D30" i="20"/>
  <c r="D29" i="20"/>
  <c r="D28" i="20"/>
  <c r="D27" i="20"/>
  <c r="D26" i="20"/>
  <c r="D25" i="20"/>
  <c r="D24" i="20"/>
  <c r="D23" i="20"/>
  <c r="D22" i="20"/>
  <c r="D21" i="20"/>
  <c r="D20" i="20"/>
  <c r="D19" i="20"/>
  <c r="D18" i="20"/>
  <c r="D17" i="20"/>
  <c r="D16" i="20"/>
  <c r="D15" i="20"/>
  <c r="D14" i="20"/>
  <c r="D13" i="20"/>
  <c r="D12" i="20"/>
  <c r="D11" i="20"/>
  <c r="H52" i="20"/>
  <c r="H51" i="20"/>
  <c r="H50" i="20"/>
  <c r="H49" i="20"/>
  <c r="H48" i="20"/>
  <c r="H47" i="20"/>
  <c r="H46" i="20"/>
  <c r="H45" i="20"/>
  <c r="H44" i="20"/>
  <c r="H43" i="20"/>
  <c r="H42" i="20"/>
  <c r="H41" i="20"/>
  <c r="H40" i="20"/>
  <c r="H39" i="20"/>
  <c r="H38" i="20"/>
  <c r="H37" i="20"/>
  <c r="H36" i="20"/>
  <c r="H35" i="20"/>
  <c r="H34" i="20"/>
  <c r="H33" i="20"/>
  <c r="H32" i="20"/>
  <c r="H31" i="20"/>
  <c r="H30" i="20"/>
  <c r="H29" i="20"/>
  <c r="H28" i="20"/>
  <c r="H27" i="20"/>
  <c r="H26" i="20"/>
  <c r="H25" i="20"/>
  <c r="H24" i="20"/>
  <c r="H23" i="20"/>
  <c r="H22" i="20"/>
  <c r="H21" i="20"/>
  <c r="H20" i="20"/>
  <c r="H19" i="20"/>
  <c r="H18" i="20"/>
  <c r="H17" i="20"/>
  <c r="H16" i="20"/>
  <c r="H15" i="20"/>
  <c r="H14" i="20"/>
  <c r="H13" i="20"/>
  <c r="H12" i="20"/>
  <c r="H11" i="20"/>
  <c r="H10" i="20"/>
  <c r="L52" i="20"/>
  <c r="L51" i="20"/>
  <c r="L50" i="20"/>
  <c r="L49" i="20"/>
  <c r="L48" i="20"/>
  <c r="L47" i="20"/>
  <c r="L46" i="20"/>
  <c r="L45" i="20"/>
  <c r="L44" i="20"/>
  <c r="L43" i="20"/>
  <c r="L42" i="20"/>
  <c r="L41" i="20"/>
  <c r="L40" i="20"/>
  <c r="L39" i="20"/>
  <c r="L38" i="20"/>
  <c r="L37" i="20"/>
  <c r="L36" i="20"/>
  <c r="L35" i="20"/>
  <c r="L34" i="20"/>
  <c r="L33" i="20"/>
  <c r="L32" i="20"/>
  <c r="L31" i="20"/>
  <c r="L30" i="20"/>
  <c r="L29" i="20"/>
  <c r="L28" i="20"/>
  <c r="L27" i="20"/>
  <c r="L26" i="20"/>
  <c r="L25" i="20"/>
  <c r="L24" i="20"/>
  <c r="L23" i="20"/>
  <c r="L22" i="20"/>
  <c r="L21" i="20"/>
  <c r="L20" i="20"/>
  <c r="L19" i="20"/>
  <c r="L18" i="20"/>
  <c r="L17" i="20"/>
  <c r="L16" i="20"/>
  <c r="L15" i="20"/>
  <c r="L14" i="20"/>
  <c r="L13" i="20"/>
  <c r="L12" i="20"/>
  <c r="L11" i="20"/>
  <c r="L10" i="20"/>
  <c r="D6" i="20"/>
  <c r="H6" i="20"/>
  <c r="B7" i="20"/>
  <c r="F7" i="20"/>
  <c r="J7" i="20"/>
  <c r="C8" i="20"/>
  <c r="G8" i="20"/>
  <c r="K8" i="20"/>
  <c r="C9" i="20"/>
  <c r="G9" i="20"/>
  <c r="K9" i="20"/>
  <c r="C10" i="20"/>
  <c r="I10" i="20"/>
  <c r="E11" i="20"/>
  <c r="M11" i="20"/>
  <c r="I12" i="20"/>
  <c r="E13" i="20"/>
  <c r="M13" i="20"/>
  <c r="I14" i="20"/>
  <c r="E15" i="20"/>
  <c r="M15" i="20"/>
  <c r="I16" i="20"/>
  <c r="E17" i="20"/>
  <c r="M17" i="20"/>
  <c r="I18" i="20"/>
  <c r="E19" i="20"/>
  <c r="M19" i="20"/>
  <c r="I20" i="20"/>
  <c r="E21" i="20"/>
  <c r="M21" i="20"/>
  <c r="I22" i="20"/>
  <c r="E23" i="20"/>
  <c r="M23" i="20"/>
  <c r="I24" i="20"/>
  <c r="M25" i="20"/>
  <c r="E27" i="20"/>
  <c r="I28" i="20"/>
  <c r="M29" i="20"/>
  <c r="E31" i="20"/>
  <c r="I32" i="20"/>
  <c r="M33" i="20"/>
  <c r="E35" i="20"/>
  <c r="I36" i="20"/>
  <c r="M37" i="20"/>
  <c r="E39" i="20"/>
  <c r="I40" i="20"/>
  <c r="M41" i="20"/>
  <c r="E43" i="20"/>
  <c r="I44" i="20"/>
  <c r="M45" i="20"/>
  <c r="E47" i="20"/>
  <c r="I48" i="20"/>
  <c r="N8" i="8" l="1"/>
  <c r="N11" i="8"/>
  <c r="P3" i="8"/>
  <c r="O3" i="8"/>
  <c r="M3" i="8"/>
  <c r="E37" i="1"/>
  <c r="F37" i="1"/>
  <c r="AM41" i="2" s="1"/>
  <c r="AL3" i="8" s="1"/>
  <c r="G37" i="1"/>
  <c r="H37" i="1"/>
  <c r="BP41" i="2" s="1"/>
  <c r="BO3" i="8" s="1"/>
  <c r="I37" i="1"/>
  <c r="J37" i="1"/>
  <c r="BQ41" i="2" s="1"/>
  <c r="BP3" i="8" s="1"/>
  <c r="K37" i="1"/>
  <c r="AN41" i="2" s="1"/>
  <c r="AM3" i="8" s="1"/>
  <c r="L37" i="1"/>
  <c r="BR41" i="2" s="1"/>
  <c r="BQ3" i="8" s="1"/>
  <c r="M37" i="1"/>
  <c r="AO41" i="2" s="1"/>
  <c r="AN3" i="8" s="1"/>
  <c r="AL11" i="8" l="1"/>
  <c r="AL8" i="8"/>
  <c r="AN13" i="8"/>
  <c r="AN10" i="8"/>
  <c r="D28" i="9"/>
  <c r="BP9" i="8"/>
  <c r="BP12" i="8"/>
  <c r="BQ9" i="8"/>
  <c r="BQ12" i="8"/>
  <c r="AM10" i="8"/>
  <c r="AM13" i="8"/>
  <c r="D27" i="9"/>
  <c r="D26" i="9"/>
  <c r="D25" i="9"/>
  <c r="L41" i="2"/>
  <c r="J41" i="2"/>
  <c r="H41" i="2"/>
  <c r="F41" i="2"/>
  <c r="M41" i="2"/>
  <c r="L3" i="8" s="1"/>
  <c r="K41" i="2"/>
  <c r="I41" i="2"/>
  <c r="G41" i="2"/>
  <c r="E41" i="2"/>
  <c r="M9" i="8"/>
  <c r="M12" i="8"/>
  <c r="O9" i="8"/>
  <c r="O11" i="8"/>
  <c r="O12" i="8"/>
  <c r="O8" i="8"/>
  <c r="P8" i="8"/>
  <c r="P9" i="8"/>
  <c r="P11" i="8"/>
  <c r="P12" i="8"/>
  <c r="P2" i="3"/>
  <c r="J34" i="1"/>
  <c r="J33" i="1"/>
  <c r="J33" i="2" s="1"/>
  <c r="J32" i="1"/>
  <c r="J31" i="1"/>
  <c r="H34" i="7"/>
  <c r="H33" i="7"/>
  <c r="H32" i="7"/>
  <c r="H31" i="7"/>
  <c r="I17" i="1"/>
  <c r="D15" i="1"/>
  <c r="D14" i="1"/>
  <c r="B13" i="7"/>
  <c r="F21" i="1"/>
  <c r="I21" i="1"/>
  <c r="I21" i="2" s="1"/>
  <c r="J29" i="1"/>
  <c r="J28" i="1"/>
  <c r="J27" i="1"/>
  <c r="J26" i="1"/>
  <c r="J26" i="2" s="1"/>
  <c r="J25" i="1"/>
  <c r="J30" i="1"/>
  <c r="J24" i="1"/>
  <c r="J24" i="2" s="1"/>
  <c r="J23" i="1"/>
  <c r="J23" i="2" s="1"/>
  <c r="J22" i="1"/>
  <c r="J21" i="1"/>
  <c r="J20" i="1"/>
  <c r="J19" i="1"/>
  <c r="J19" i="2" s="1"/>
  <c r="J18" i="1"/>
  <c r="J17" i="1"/>
  <c r="J16" i="1"/>
  <c r="J16" i="2" s="1"/>
  <c r="J15" i="1"/>
  <c r="J15" i="2" s="1"/>
  <c r="J14" i="1"/>
  <c r="J13" i="1"/>
  <c r="J12" i="1"/>
  <c r="J11" i="1"/>
  <c r="J11" i="2" s="1"/>
  <c r="J10" i="1"/>
  <c r="J10" i="2" s="1"/>
  <c r="H30" i="7"/>
  <c r="H24" i="7"/>
  <c r="H23" i="7"/>
  <c r="H22" i="7"/>
  <c r="H21" i="7"/>
  <c r="H20" i="7"/>
  <c r="H19" i="7"/>
  <c r="H18" i="7"/>
  <c r="H17" i="7"/>
  <c r="H16" i="7"/>
  <c r="H15" i="7"/>
  <c r="H14" i="7"/>
  <c r="H13" i="7"/>
  <c r="H12" i="7"/>
  <c r="H11" i="7"/>
  <c r="H10" i="7"/>
  <c r="I34" i="1"/>
  <c r="I34" i="2" s="1"/>
  <c r="I33" i="1"/>
  <c r="I32" i="1"/>
  <c r="I32" i="2" s="1"/>
  <c r="I31" i="1"/>
  <c r="I30" i="1"/>
  <c r="I30" i="2" s="1"/>
  <c r="I29" i="1"/>
  <c r="I28" i="1"/>
  <c r="I28" i="2" s="1"/>
  <c r="I27" i="1"/>
  <c r="I26" i="1"/>
  <c r="I26" i="2" s="1"/>
  <c r="I25" i="1"/>
  <c r="I24" i="1"/>
  <c r="I24" i="2" s="1"/>
  <c r="I23" i="1"/>
  <c r="I22" i="1"/>
  <c r="I20" i="1"/>
  <c r="I19" i="1"/>
  <c r="I19" i="2" s="1"/>
  <c r="I18" i="1"/>
  <c r="I16" i="1"/>
  <c r="I16" i="2" s="1"/>
  <c r="I15" i="1"/>
  <c r="I14" i="1"/>
  <c r="I14" i="2" s="1"/>
  <c r="I13" i="1"/>
  <c r="I12" i="1"/>
  <c r="I12" i="2" s="1"/>
  <c r="I11" i="1"/>
  <c r="I10" i="1"/>
  <c r="I10" i="2" s="1"/>
  <c r="G34" i="7"/>
  <c r="G33" i="7"/>
  <c r="G32" i="7"/>
  <c r="G31" i="7"/>
  <c r="G30" i="7"/>
  <c r="G29" i="7"/>
  <c r="G28" i="7"/>
  <c r="G27" i="7"/>
  <c r="G26" i="7"/>
  <c r="G25" i="7"/>
  <c r="G24" i="7"/>
  <c r="G23" i="7"/>
  <c r="G22" i="7"/>
  <c r="G20" i="7"/>
  <c r="G19" i="7"/>
  <c r="G18" i="7"/>
  <c r="G16" i="7"/>
  <c r="G15" i="7"/>
  <c r="G14" i="7"/>
  <c r="G13" i="7"/>
  <c r="G12" i="7"/>
  <c r="G11" i="7"/>
  <c r="G10" i="7"/>
  <c r="F25" i="1"/>
  <c r="F23" i="1"/>
  <c r="F22" i="1"/>
  <c r="F20" i="1"/>
  <c r="F19" i="1"/>
  <c r="F19" i="2" s="1"/>
  <c r="F18" i="1"/>
  <c r="F17" i="1"/>
  <c r="F17" i="2" s="1"/>
  <c r="F16" i="1"/>
  <c r="F16" i="2" s="1"/>
  <c r="F14" i="1"/>
  <c r="F13" i="1"/>
  <c r="F12" i="1"/>
  <c r="F12" i="2" s="1"/>
  <c r="F11" i="1"/>
  <c r="F11" i="2" s="1"/>
  <c r="D34" i="1"/>
  <c r="D34" i="2" s="1"/>
  <c r="D33" i="1"/>
  <c r="D32" i="1"/>
  <c r="D31" i="1"/>
  <c r="D30" i="1"/>
  <c r="D29" i="1"/>
  <c r="D28" i="1"/>
  <c r="D27" i="1"/>
  <c r="D26" i="1"/>
  <c r="D25" i="1"/>
  <c r="D24" i="1"/>
  <c r="D23" i="1"/>
  <c r="D22" i="1"/>
  <c r="D21" i="1"/>
  <c r="D20" i="1"/>
  <c r="D19" i="1"/>
  <c r="D18" i="1"/>
  <c r="D17" i="1"/>
  <c r="D16" i="1"/>
  <c r="D13" i="1"/>
  <c r="D11" i="1"/>
  <c r="D12" i="2" s="1"/>
  <c r="D10" i="1"/>
  <c r="D25" i="7"/>
  <c r="D26" i="7" s="1"/>
  <c r="D27" i="7" s="1"/>
  <c r="D28" i="7" s="1"/>
  <c r="D29" i="7" s="1"/>
  <c r="D30" i="7" s="1"/>
  <c r="D31" i="7" s="1"/>
  <c r="D32" i="7" s="1"/>
  <c r="D33" i="7" s="1"/>
  <c r="D34" i="7" s="1"/>
  <c r="D23" i="7"/>
  <c r="D22" i="7"/>
  <c r="D20" i="7"/>
  <c r="D19" i="7"/>
  <c r="D18" i="7"/>
  <c r="D17" i="7"/>
  <c r="D16" i="7"/>
  <c r="D14" i="7"/>
  <c r="D13" i="7"/>
  <c r="D12" i="7"/>
  <c r="D11" i="7"/>
  <c r="B34" i="7"/>
  <c r="B33" i="7"/>
  <c r="B32" i="7"/>
  <c r="B31" i="7"/>
  <c r="B30" i="7"/>
  <c r="B29" i="7"/>
  <c r="B28" i="7"/>
  <c r="B27" i="7"/>
  <c r="B26" i="7"/>
  <c r="B25" i="7"/>
  <c r="B24" i="7"/>
  <c r="B23" i="7"/>
  <c r="B22" i="7"/>
  <c r="B21" i="7"/>
  <c r="B20" i="7"/>
  <c r="B19" i="7"/>
  <c r="B18" i="7"/>
  <c r="B17" i="7"/>
  <c r="B16" i="7"/>
  <c r="B10" i="7"/>
  <c r="I2" i="3"/>
  <c r="J2" i="3"/>
  <c r="F25" i="2" l="1"/>
  <c r="AM25" i="2"/>
  <c r="E25" i="9"/>
  <c r="E26" i="9"/>
  <c r="J13" i="2"/>
  <c r="J17" i="2"/>
  <c r="J21" i="2"/>
  <c r="E27" i="9"/>
  <c r="F13" i="2"/>
  <c r="F18" i="2"/>
  <c r="F23" i="2"/>
  <c r="I13" i="2"/>
  <c r="I18" i="2"/>
  <c r="I23" i="2"/>
  <c r="I27" i="2"/>
  <c r="I31" i="2"/>
  <c r="J14" i="2"/>
  <c r="J18" i="2"/>
  <c r="J25" i="2"/>
  <c r="J29" i="2"/>
  <c r="J32" i="2"/>
  <c r="E28" i="9"/>
  <c r="F20" i="2"/>
  <c r="I11" i="2"/>
  <c r="I15" i="2"/>
  <c r="I20" i="2"/>
  <c r="I25" i="2"/>
  <c r="I29" i="2"/>
  <c r="I33" i="2"/>
  <c r="J12" i="2"/>
  <c r="J20" i="2"/>
  <c r="J27" i="2"/>
  <c r="F21" i="2"/>
  <c r="I17" i="2"/>
  <c r="J34" i="2"/>
  <c r="E3" i="8"/>
  <c r="F22" i="2"/>
  <c r="I22" i="2"/>
  <c r="J30" i="2"/>
  <c r="J28" i="2"/>
  <c r="J31" i="2"/>
  <c r="F14" i="2"/>
  <c r="F15" i="2"/>
  <c r="J22" i="2"/>
  <c r="F3" i="8"/>
  <c r="J3" i="8"/>
  <c r="G3" i="8"/>
  <c r="K3" i="8"/>
  <c r="D3" i="8"/>
  <c r="H3" i="8"/>
  <c r="L8" i="8"/>
  <c r="L11" i="8"/>
  <c r="I3" i="8"/>
  <c r="D23" i="2"/>
  <c r="F26" i="1"/>
  <c r="G27" i="21"/>
  <c r="G28" i="21" s="1"/>
  <c r="AH27" i="21"/>
  <c r="AH28" i="21" s="1"/>
  <c r="AL27" i="21"/>
  <c r="AL28" i="21" s="1"/>
  <c r="AT27" i="21"/>
  <c r="AT28" i="21" s="1"/>
  <c r="AM27" i="21"/>
  <c r="AM28" i="21" s="1"/>
  <c r="AN27" i="21"/>
  <c r="AN28" i="21" s="1"/>
  <c r="BK27" i="21"/>
  <c r="BK28" i="21" s="1"/>
  <c r="BF27" i="21"/>
  <c r="BF28" i="21" s="1"/>
  <c r="AU27" i="21"/>
  <c r="AU28" i="21" s="1"/>
  <c r="BL27" i="21"/>
  <c r="BL28" i="21" s="1"/>
  <c r="CA27" i="21"/>
  <c r="CA28" i="21" s="1"/>
  <c r="AK27" i="21"/>
  <c r="AK28" i="21" s="1"/>
  <c r="D22" i="2"/>
  <c r="P2" i="26"/>
  <c r="M2" i="26"/>
  <c r="J2" i="26"/>
  <c r="H2" i="26"/>
  <c r="F2" i="26"/>
  <c r="O1" i="26"/>
  <c r="Q2" i="26"/>
  <c r="O2" i="26"/>
  <c r="K2" i="26"/>
  <c r="I2" i="26"/>
  <c r="G2" i="26"/>
  <c r="E2" i="26"/>
  <c r="F1" i="26"/>
  <c r="I1" i="26"/>
  <c r="AV1" i="26"/>
  <c r="P1" i="26"/>
  <c r="K1" i="26"/>
  <c r="G1" i="26"/>
  <c r="J1" i="26"/>
  <c r="E1" i="26"/>
  <c r="AJ1" i="26"/>
  <c r="N1" i="26"/>
  <c r="AZ1" i="26"/>
  <c r="Q1" i="26"/>
  <c r="AG1" i="26"/>
  <c r="M1" i="26"/>
  <c r="H1" i="26"/>
  <c r="S1" i="26"/>
  <c r="F27" i="1"/>
  <c r="C32" i="3"/>
  <c r="C33" i="3"/>
  <c r="C34" i="3"/>
  <c r="C35" i="3"/>
  <c r="C36" i="3"/>
  <c r="C37" i="3"/>
  <c r="C38" i="3"/>
  <c r="C39" i="3"/>
  <c r="C40" i="3"/>
  <c r="C41" i="3"/>
  <c r="C42" i="3"/>
  <c r="C43" i="3"/>
  <c r="C44" i="3"/>
  <c r="C45" i="3"/>
  <c r="C46" i="3"/>
  <c r="C47" i="3"/>
  <c r="C48" i="3"/>
  <c r="C49" i="3"/>
  <c r="C50" i="3"/>
  <c r="C51" i="3"/>
  <c r="C52" i="3"/>
  <c r="C53" i="3"/>
  <c r="C54" i="3"/>
  <c r="C55" i="3"/>
  <c r="B3" i="2"/>
  <c r="B4" i="2"/>
  <c r="B5" i="2"/>
  <c r="B6" i="2"/>
  <c r="B7" i="2"/>
  <c r="B8" i="2"/>
  <c r="B9" i="2"/>
  <c r="B10" i="2"/>
  <c r="B11" i="2"/>
  <c r="B12" i="2"/>
  <c r="B13" i="2"/>
  <c r="B14" i="2"/>
  <c r="B15" i="2"/>
  <c r="B16" i="2"/>
  <c r="B17" i="2"/>
  <c r="B18" i="2"/>
  <c r="B19" i="2"/>
  <c r="B20" i="2"/>
  <c r="B21" i="2"/>
  <c r="B22" i="2"/>
  <c r="B23" i="2"/>
  <c r="B24" i="2"/>
  <c r="B25" i="2"/>
  <c r="B26" i="2"/>
  <c r="B27" i="2"/>
  <c r="B28" i="2"/>
  <c r="B29" i="2"/>
  <c r="B30" i="2"/>
  <c r="B31" i="2"/>
  <c r="B32" i="2"/>
  <c r="B33" i="2"/>
  <c r="B34" i="2"/>
  <c r="C10" i="2"/>
  <c r="C11" i="2"/>
  <c r="C12" i="2"/>
  <c r="C13" i="2"/>
  <c r="C14" i="2"/>
  <c r="C15" i="2"/>
  <c r="C16" i="2"/>
  <c r="C17" i="2"/>
  <c r="C18" i="2"/>
  <c r="C19" i="2"/>
  <c r="C20" i="2"/>
  <c r="C21" i="2"/>
  <c r="C22" i="2"/>
  <c r="C23" i="2"/>
  <c r="C24" i="2"/>
  <c r="C25" i="2"/>
  <c r="C26" i="2"/>
  <c r="C27" i="2"/>
  <c r="C28" i="2"/>
  <c r="C29" i="2"/>
  <c r="C30" i="2"/>
  <c r="C31" i="2"/>
  <c r="C32" i="2"/>
  <c r="C33" i="2"/>
  <c r="C34" i="2"/>
  <c r="C9" i="2"/>
  <c r="D9" i="2"/>
  <c r="D2" i="3"/>
  <c r="C2" i="3" l="1"/>
  <c r="C2" i="33"/>
  <c r="C3" i="33" s="1"/>
  <c r="D4" i="33"/>
  <c r="D7" i="33" s="1"/>
  <c r="H4" i="33"/>
  <c r="L4" i="33"/>
  <c r="P4" i="33"/>
  <c r="T4" i="33"/>
  <c r="T7" i="33" s="1"/>
  <c r="X4" i="33"/>
  <c r="AB4" i="33"/>
  <c r="AF4" i="33"/>
  <c r="AJ4" i="33"/>
  <c r="AJ7" i="33" s="1"/>
  <c r="AN4" i="33"/>
  <c r="AR4" i="33"/>
  <c r="AV4" i="33"/>
  <c r="AZ4" i="33"/>
  <c r="AZ7" i="33" s="1"/>
  <c r="BD4" i="33"/>
  <c r="BH4" i="33"/>
  <c r="BL4" i="33"/>
  <c r="BP4" i="33"/>
  <c r="BP7" i="33" s="1"/>
  <c r="BT4" i="33"/>
  <c r="F4" i="33"/>
  <c r="J4" i="33"/>
  <c r="N4" i="33"/>
  <c r="R4" i="33"/>
  <c r="V4" i="33"/>
  <c r="Z4" i="33"/>
  <c r="AD4" i="33"/>
  <c r="AD7" i="33" s="1"/>
  <c r="AH4" i="33"/>
  <c r="AL4" i="33"/>
  <c r="AP4" i="33"/>
  <c r="AT4" i="33"/>
  <c r="AX4" i="33"/>
  <c r="BB4" i="33"/>
  <c r="BF4" i="33"/>
  <c r="BJ4" i="33"/>
  <c r="BJ7" i="33" s="1"/>
  <c r="BN4" i="33"/>
  <c r="BR4" i="33"/>
  <c r="BV4" i="33"/>
  <c r="BZ4" i="33"/>
  <c r="I4" i="33"/>
  <c r="Q4" i="33"/>
  <c r="Y4" i="33"/>
  <c r="AG4" i="33"/>
  <c r="AG7" i="33" s="1"/>
  <c r="AO4" i="33"/>
  <c r="AW4" i="33"/>
  <c r="BE4" i="33"/>
  <c r="BM4" i="33"/>
  <c r="BM7" i="33" s="1"/>
  <c r="BU4" i="33"/>
  <c r="CA4" i="33"/>
  <c r="CE4" i="33"/>
  <c r="CI4" i="33"/>
  <c r="D5" i="33"/>
  <c r="H5" i="33"/>
  <c r="L5" i="33"/>
  <c r="P5" i="33"/>
  <c r="T5" i="33"/>
  <c r="X5" i="33"/>
  <c r="AB5" i="33"/>
  <c r="AF5" i="33"/>
  <c r="AJ5" i="33"/>
  <c r="AN5" i="33"/>
  <c r="AR5" i="33"/>
  <c r="AV5" i="33"/>
  <c r="AZ5" i="33"/>
  <c r="BD5" i="33"/>
  <c r="BH5" i="33"/>
  <c r="BL5" i="33"/>
  <c r="BP5" i="33"/>
  <c r="BT5" i="33"/>
  <c r="BX5" i="33"/>
  <c r="CB5" i="33"/>
  <c r="CF5" i="33"/>
  <c r="CJ5" i="33"/>
  <c r="I6" i="33"/>
  <c r="M6" i="33"/>
  <c r="Q6" i="33"/>
  <c r="U6" i="33"/>
  <c r="K4" i="33"/>
  <c r="S4" i="33"/>
  <c r="AA4" i="33"/>
  <c r="AI4" i="33"/>
  <c r="AQ4" i="33"/>
  <c r="AY4" i="33"/>
  <c r="BG4" i="33"/>
  <c r="BO4" i="33"/>
  <c r="BW4" i="33"/>
  <c r="CB4" i="33"/>
  <c r="CF4" i="33"/>
  <c r="CF7" i="33" s="1"/>
  <c r="CJ4" i="33"/>
  <c r="I5" i="33"/>
  <c r="M5" i="33"/>
  <c r="Q5" i="33"/>
  <c r="U5" i="33"/>
  <c r="Y5" i="33"/>
  <c r="AC5" i="33"/>
  <c r="AG5" i="33"/>
  <c r="AK5" i="33"/>
  <c r="AO5" i="33"/>
  <c r="AS5" i="33"/>
  <c r="AW5" i="33"/>
  <c r="BA5" i="33"/>
  <c r="BE5" i="33"/>
  <c r="BI5" i="33"/>
  <c r="BM5" i="33"/>
  <c r="BQ5" i="33"/>
  <c r="BU5" i="33"/>
  <c r="BY5" i="33"/>
  <c r="CC5" i="33"/>
  <c r="CG5" i="33"/>
  <c r="CK5" i="33"/>
  <c r="F6" i="33"/>
  <c r="J6" i="33"/>
  <c r="N6" i="33"/>
  <c r="R6" i="33"/>
  <c r="V6" i="33"/>
  <c r="Z6" i="33"/>
  <c r="AD6" i="33"/>
  <c r="AH6" i="33"/>
  <c r="AP6" i="33"/>
  <c r="AT6" i="33"/>
  <c r="AX6" i="33"/>
  <c r="BB6" i="33"/>
  <c r="BF6" i="33"/>
  <c r="BJ6" i="33"/>
  <c r="BN6" i="33"/>
  <c r="BR6" i="33"/>
  <c r="BV6" i="33"/>
  <c r="E4" i="33"/>
  <c r="U4" i="33"/>
  <c r="AK4" i="33"/>
  <c r="AK7" i="33" s="1"/>
  <c r="BA4" i="33"/>
  <c r="BQ4" i="33"/>
  <c r="BQ7" i="33" s="1"/>
  <c r="CC4" i="33"/>
  <c r="CK4" i="33"/>
  <c r="CK7" i="33" s="1"/>
  <c r="J5" i="33"/>
  <c r="R5" i="33"/>
  <c r="Z5" i="33"/>
  <c r="AH5" i="33"/>
  <c r="AP5" i="33"/>
  <c r="AX5" i="33"/>
  <c r="BF5" i="33"/>
  <c r="BN5" i="33"/>
  <c r="BV5" i="33"/>
  <c r="CD5" i="33"/>
  <c r="CL5" i="33"/>
  <c r="K6" i="33"/>
  <c r="S6" i="33"/>
  <c r="Y6" i="33"/>
  <c r="AE6" i="33"/>
  <c r="AJ6" i="33"/>
  <c r="AO6" i="33"/>
  <c r="AU6" i="33"/>
  <c r="AZ6" i="33"/>
  <c r="BE6" i="33"/>
  <c r="BK6" i="33"/>
  <c r="BP6" i="33"/>
  <c r="BU6" i="33"/>
  <c r="BZ6" i="33"/>
  <c r="CD6" i="33"/>
  <c r="CH6" i="33"/>
  <c r="CL6" i="33"/>
  <c r="CG4" i="33"/>
  <c r="CG7" i="33" s="1"/>
  <c r="V5" i="33"/>
  <c r="BJ5" i="33"/>
  <c r="BZ5" i="33"/>
  <c r="G6" i="33"/>
  <c r="W6" i="33"/>
  <c r="AG6" i="33"/>
  <c r="AR6" i="33"/>
  <c r="BC6" i="33"/>
  <c r="BM6" i="33"/>
  <c r="BX6" i="33"/>
  <c r="CF6" i="33"/>
  <c r="G4" i="33"/>
  <c r="W4" i="33"/>
  <c r="W7" i="33" s="1"/>
  <c r="AM4" i="33"/>
  <c r="BC4" i="33"/>
  <c r="BS4" i="33"/>
  <c r="CD4" i="33"/>
  <c r="CD7" i="33" s="1"/>
  <c r="CL4" i="33"/>
  <c r="CL7" i="33" s="1"/>
  <c r="K5" i="33"/>
  <c r="S5" i="33"/>
  <c r="AA5" i="33"/>
  <c r="AI5" i="33"/>
  <c r="AQ5" i="33"/>
  <c r="AY5" i="33"/>
  <c r="BG5" i="33"/>
  <c r="BO5" i="33"/>
  <c r="BW5" i="33"/>
  <c r="CE5" i="33"/>
  <c r="D6" i="33"/>
  <c r="L6" i="33"/>
  <c r="T6" i="33"/>
  <c r="AA6" i="33"/>
  <c r="AF6" i="33"/>
  <c r="AK6" i="33"/>
  <c r="AQ6" i="33"/>
  <c r="AV6" i="33"/>
  <c r="BA6" i="33"/>
  <c r="BG6" i="33"/>
  <c r="BL6" i="33"/>
  <c r="BQ6" i="33"/>
  <c r="BW6" i="33"/>
  <c r="CA6" i="33"/>
  <c r="CE6" i="33"/>
  <c r="CI6" i="33"/>
  <c r="M4" i="33"/>
  <c r="M7" i="33" s="1"/>
  <c r="AC4" i="33"/>
  <c r="AS4" i="33"/>
  <c r="BI4" i="33"/>
  <c r="BX4" i="33"/>
  <c r="BX7" i="33" s="1"/>
  <c r="F5" i="33"/>
  <c r="N5" i="33"/>
  <c r="AD5" i="33"/>
  <c r="AT5" i="33"/>
  <c r="BB5" i="33"/>
  <c r="BR5" i="33"/>
  <c r="CH5" i="33"/>
  <c r="O6" i="33"/>
  <c r="AB6" i="33"/>
  <c r="AM6" i="33"/>
  <c r="AW6" i="33"/>
  <c r="BH6" i="33"/>
  <c r="BS6" i="33"/>
  <c r="CB6" i="33"/>
  <c r="CJ6" i="33"/>
  <c r="AE4" i="33"/>
  <c r="AE7" i="33" s="1"/>
  <c r="CH4" i="33"/>
  <c r="AE5" i="33"/>
  <c r="BK5" i="33"/>
  <c r="H6" i="33"/>
  <c r="AI6" i="33"/>
  <c r="BD6" i="33"/>
  <c r="BY6" i="33"/>
  <c r="BY4" i="33"/>
  <c r="BY7" i="33" s="1"/>
  <c r="BC5" i="33"/>
  <c r="AC6" i="33"/>
  <c r="CK6" i="33"/>
  <c r="AU4" i="33"/>
  <c r="AU7" i="33" s="1"/>
  <c r="G5" i="33"/>
  <c r="AM5" i="33"/>
  <c r="BS5" i="33"/>
  <c r="P6" i="33"/>
  <c r="AN6" i="33"/>
  <c r="BI6" i="33"/>
  <c r="CC6" i="33"/>
  <c r="BK4" i="33"/>
  <c r="BK7" i="33" s="1"/>
  <c r="O5" i="33"/>
  <c r="AU5" i="33"/>
  <c r="CA5" i="33"/>
  <c r="X6" i="33"/>
  <c r="AS6" i="33"/>
  <c r="BO6" i="33"/>
  <c r="CG6" i="33"/>
  <c r="O4" i="33"/>
  <c r="O7" i="33" s="1"/>
  <c r="W5" i="33"/>
  <c r="CI5" i="33"/>
  <c r="AY6" i="33"/>
  <c r="BT6" i="33"/>
  <c r="F26" i="2"/>
  <c r="AM26" i="2"/>
  <c r="F27" i="2"/>
  <c r="AM27" i="2"/>
  <c r="CL3" i="3"/>
  <c r="CL5" i="3"/>
  <c r="CL4" i="3"/>
  <c r="E8" i="8"/>
  <c r="E11" i="8"/>
  <c r="H36" i="2"/>
  <c r="J36" i="2"/>
  <c r="BK29" i="21" s="1"/>
  <c r="L36" i="2"/>
  <c r="N36" i="2"/>
  <c r="P36" i="2"/>
  <c r="R36" i="2"/>
  <c r="T36" i="2"/>
  <c r="V36" i="2"/>
  <c r="X36" i="2"/>
  <c r="Z36" i="2"/>
  <c r="BG29" i="21" s="1"/>
  <c r="AB36" i="2"/>
  <c r="AD36" i="2"/>
  <c r="AF36" i="2"/>
  <c r="AH36" i="2"/>
  <c r="CM29" i="21" s="1"/>
  <c r="AJ36" i="2"/>
  <c r="AL36" i="2"/>
  <c r="AN36" i="2"/>
  <c r="AP36" i="2"/>
  <c r="BT29" i="21" s="1"/>
  <c r="AR36" i="2"/>
  <c r="AT36" i="2"/>
  <c r="BV29" i="21" s="1"/>
  <c r="AV36" i="2"/>
  <c r="AX36" i="2"/>
  <c r="AP29" i="21" s="1"/>
  <c r="AZ36" i="2"/>
  <c r="E36" i="2"/>
  <c r="G36" i="2"/>
  <c r="I36" i="2"/>
  <c r="BF29" i="21" s="1"/>
  <c r="K36" i="2"/>
  <c r="M36" i="2"/>
  <c r="O36" i="2"/>
  <c r="Q36" i="2"/>
  <c r="S36" i="2"/>
  <c r="U36" i="2"/>
  <c r="W36" i="2"/>
  <c r="Y36" i="2"/>
  <c r="AW29" i="21" s="1"/>
  <c r="AA36" i="2"/>
  <c r="AC36" i="2"/>
  <c r="BP29" i="21" s="1"/>
  <c r="AE36" i="2"/>
  <c r="AG36" i="2"/>
  <c r="AI36" i="2"/>
  <c r="AK36" i="2"/>
  <c r="AO36" i="2"/>
  <c r="BH29" i="21" s="1"/>
  <c r="AQ36" i="2"/>
  <c r="CC29" i="21" s="1"/>
  <c r="AS36" i="2"/>
  <c r="BU29" i="21" s="1"/>
  <c r="AU36" i="2"/>
  <c r="AW36" i="2"/>
  <c r="AY36" i="2"/>
  <c r="CN29" i="21" s="1"/>
  <c r="BA36" i="2"/>
  <c r="BC36" i="2"/>
  <c r="BE36" i="2"/>
  <c r="P29" i="21" s="1"/>
  <c r="BG36" i="2"/>
  <c r="R29" i="21" s="1"/>
  <c r="BI36" i="2"/>
  <c r="T29" i="21" s="1"/>
  <c r="BK36" i="2"/>
  <c r="BX29" i="21" s="1"/>
  <c r="BM36" i="2"/>
  <c r="BO36" i="2"/>
  <c r="BQ36" i="2"/>
  <c r="BS36" i="2"/>
  <c r="CD29" i="21" s="1"/>
  <c r="BU36" i="2"/>
  <c r="E29" i="21" s="1"/>
  <c r="BW36" i="2"/>
  <c r="BY36" i="2"/>
  <c r="AA29" i="21" s="1"/>
  <c r="CA36" i="2"/>
  <c r="AB29" i="21" s="1"/>
  <c r="CC36" i="2"/>
  <c r="CE36" i="2"/>
  <c r="CG36" i="2"/>
  <c r="CI36" i="2"/>
  <c r="BE29" i="21" s="1"/>
  <c r="CK36" i="2"/>
  <c r="CM36" i="2"/>
  <c r="E37" i="2"/>
  <c r="G37" i="2"/>
  <c r="I37" i="2"/>
  <c r="K37" i="2"/>
  <c r="M37" i="2"/>
  <c r="O37" i="2"/>
  <c r="AN30" i="21" s="1"/>
  <c r="Q37" i="2"/>
  <c r="BL30" i="21" s="1"/>
  <c r="S37" i="2"/>
  <c r="U37" i="2"/>
  <c r="W37" i="2"/>
  <c r="Y37" i="2"/>
  <c r="AA37" i="2"/>
  <c r="AC37" i="2"/>
  <c r="AE37" i="2"/>
  <c r="AG37" i="2"/>
  <c r="AI37" i="2"/>
  <c r="AK37" i="2"/>
  <c r="AM37" i="2"/>
  <c r="AO37" i="2"/>
  <c r="AQ37" i="2"/>
  <c r="AS37" i="2"/>
  <c r="AU37" i="2"/>
  <c r="AW37" i="2"/>
  <c r="AY37" i="2"/>
  <c r="BA37" i="2"/>
  <c r="BC37" i="2"/>
  <c r="BE37" i="2"/>
  <c r="BG37" i="2"/>
  <c r="BI37" i="2"/>
  <c r="BK37" i="2"/>
  <c r="BM37" i="2"/>
  <c r="BO37" i="2"/>
  <c r="BQ37" i="2"/>
  <c r="BS37" i="2"/>
  <c r="BU37" i="2"/>
  <c r="BW37" i="2"/>
  <c r="BY37" i="2"/>
  <c r="CA37" i="2"/>
  <c r="CC37" i="2"/>
  <c r="CE37" i="2"/>
  <c r="CG37" i="2"/>
  <c r="CI37" i="2"/>
  <c r="CK37" i="2"/>
  <c r="CM37" i="2"/>
  <c r="E38" i="2"/>
  <c r="G38" i="2"/>
  <c r="I38" i="2"/>
  <c r="K38" i="2"/>
  <c r="M38" i="2"/>
  <c r="O38" i="2"/>
  <c r="Q38" i="2"/>
  <c r="S38" i="2"/>
  <c r="U38" i="2"/>
  <c r="W38" i="2"/>
  <c r="Y38" i="2"/>
  <c r="AA38" i="2"/>
  <c r="AC38" i="2"/>
  <c r="AE38" i="2"/>
  <c r="AG38" i="2"/>
  <c r="AI38" i="2"/>
  <c r="AK38" i="2"/>
  <c r="AO38" i="2"/>
  <c r="AQ38" i="2"/>
  <c r="AS38" i="2"/>
  <c r="AU38" i="2"/>
  <c r="AW38" i="2"/>
  <c r="AY38" i="2"/>
  <c r="BA38" i="2"/>
  <c r="BC38" i="2"/>
  <c r="BE38" i="2"/>
  <c r="BG38" i="2"/>
  <c r="BI38" i="2"/>
  <c r="BK38" i="2"/>
  <c r="BM38" i="2"/>
  <c r="BO38" i="2"/>
  <c r="BQ38" i="2"/>
  <c r="BS38" i="2"/>
  <c r="BU38" i="2"/>
  <c r="BW38" i="2"/>
  <c r="BY38" i="2"/>
  <c r="CA38" i="2"/>
  <c r="CC38" i="2"/>
  <c r="CE38" i="2"/>
  <c r="CG38" i="2"/>
  <c r="CI38" i="2"/>
  <c r="CK38" i="2"/>
  <c r="CM38" i="2"/>
  <c r="BB36" i="2"/>
  <c r="BF36" i="2"/>
  <c r="Q29" i="21" s="1"/>
  <c r="BJ36" i="2"/>
  <c r="AR29" i="21" s="1"/>
  <c r="BN36" i="2"/>
  <c r="BR36" i="2"/>
  <c r="BV36" i="2"/>
  <c r="BZ36" i="2"/>
  <c r="BZ29" i="21" s="1"/>
  <c r="CD36" i="2"/>
  <c r="CH36" i="2"/>
  <c r="AF29" i="21" s="1"/>
  <c r="CL36" i="2"/>
  <c r="CH29" i="21" s="1"/>
  <c r="F37" i="2"/>
  <c r="AT30" i="21" s="1"/>
  <c r="J37" i="2"/>
  <c r="N37" i="2"/>
  <c r="R37" i="2"/>
  <c r="V37" i="2"/>
  <c r="Z37" i="2"/>
  <c r="AD37" i="2"/>
  <c r="AH37" i="2"/>
  <c r="AL37" i="2"/>
  <c r="AP37" i="2"/>
  <c r="AT37" i="2"/>
  <c r="AX37" i="2"/>
  <c r="BB37" i="2"/>
  <c r="BF37" i="2"/>
  <c r="BJ37" i="2"/>
  <c r="BN37" i="2"/>
  <c r="BR37" i="2"/>
  <c r="BV37" i="2"/>
  <c r="BZ37" i="2"/>
  <c r="CD37" i="2"/>
  <c r="CH37" i="2"/>
  <c r="CL37" i="2"/>
  <c r="J38" i="2"/>
  <c r="N38" i="2"/>
  <c r="R38" i="2"/>
  <c r="V38" i="2"/>
  <c r="Z38" i="2"/>
  <c r="AD38" i="2"/>
  <c r="AH38" i="2"/>
  <c r="AL38" i="2"/>
  <c r="AP38" i="2"/>
  <c r="AT38" i="2"/>
  <c r="AX38" i="2"/>
  <c r="BB38" i="2"/>
  <c r="BF38" i="2"/>
  <c r="BJ38" i="2"/>
  <c r="BN38" i="2"/>
  <c r="BR38" i="2"/>
  <c r="BV38" i="2"/>
  <c r="BZ38" i="2"/>
  <c r="CD38" i="2"/>
  <c r="CH38" i="2"/>
  <c r="CL38" i="2"/>
  <c r="BD36" i="2"/>
  <c r="BH36" i="2"/>
  <c r="BL36" i="2"/>
  <c r="BP36" i="2"/>
  <c r="BT36" i="2"/>
  <c r="BX36" i="2"/>
  <c r="Z29" i="21" s="1"/>
  <c r="CB36" i="2"/>
  <c r="CF36" i="2"/>
  <c r="CJ36" i="2"/>
  <c r="H37" i="2"/>
  <c r="L37" i="2"/>
  <c r="P37" i="2"/>
  <c r="T37" i="2"/>
  <c r="X37" i="2"/>
  <c r="AB37" i="2"/>
  <c r="AF37" i="2"/>
  <c r="AJ37" i="2"/>
  <c r="AN37" i="2"/>
  <c r="AR37" i="2"/>
  <c r="AV37" i="2"/>
  <c r="AZ37" i="2"/>
  <c r="BD37" i="2"/>
  <c r="BH37" i="2"/>
  <c r="BL37" i="2"/>
  <c r="BP37" i="2"/>
  <c r="BT37" i="2"/>
  <c r="BX37" i="2"/>
  <c r="CB37" i="2"/>
  <c r="CF37" i="2"/>
  <c r="CJ37" i="2"/>
  <c r="H38" i="2"/>
  <c r="L38" i="2"/>
  <c r="P38" i="2"/>
  <c r="T38" i="2"/>
  <c r="X38" i="2"/>
  <c r="AB38" i="2"/>
  <c r="AF38" i="2"/>
  <c r="AJ38" i="2"/>
  <c r="AN38" i="2"/>
  <c r="AR38" i="2"/>
  <c r="AV38" i="2"/>
  <c r="AZ38" i="2"/>
  <c r="BD38" i="2"/>
  <c r="BH38" i="2"/>
  <c r="BL38" i="2"/>
  <c r="BP38" i="2"/>
  <c r="BT38" i="2"/>
  <c r="BX38" i="2"/>
  <c r="CB38" i="2"/>
  <c r="CF38" i="2"/>
  <c r="CJ38" i="2"/>
  <c r="CL5" i="8"/>
  <c r="CL8" i="8" s="1"/>
  <c r="CL6" i="8"/>
  <c r="CL11" i="8" s="1"/>
  <c r="CL7" i="8"/>
  <c r="D5" i="8"/>
  <c r="D10" i="8" s="1"/>
  <c r="F5" i="8"/>
  <c r="H5" i="8"/>
  <c r="H10" i="8" s="1"/>
  <c r="J5" i="8"/>
  <c r="L5" i="8"/>
  <c r="N5" i="8"/>
  <c r="P5" i="8"/>
  <c r="P10" i="8" s="1"/>
  <c r="R5" i="8"/>
  <c r="T5" i="8"/>
  <c r="V5" i="8"/>
  <c r="X5" i="8"/>
  <c r="X10" i="8" s="1"/>
  <c r="Z5" i="8"/>
  <c r="AB5" i="8"/>
  <c r="AD5" i="8"/>
  <c r="AD10" i="8" s="1"/>
  <c r="AF5" i="8"/>
  <c r="AF10" i="8" s="1"/>
  <c r="AH5" i="8"/>
  <c r="AJ5" i="8"/>
  <c r="AJ10" i="8" s="1"/>
  <c r="AL5" i="8"/>
  <c r="AN5" i="8"/>
  <c r="AP5" i="8"/>
  <c r="AP9" i="8" s="1"/>
  <c r="AR5" i="8"/>
  <c r="AR9" i="8" s="1"/>
  <c r="AT5" i="8"/>
  <c r="AV5" i="8"/>
  <c r="AV9" i="8" s="1"/>
  <c r="AX5" i="8"/>
  <c r="AX9" i="8" s="1"/>
  <c r="AZ5" i="8"/>
  <c r="BB5" i="8"/>
  <c r="BD5" i="8"/>
  <c r="BF5" i="8"/>
  <c r="BH5" i="8"/>
  <c r="BH9" i="8" s="1"/>
  <c r="BJ5" i="8"/>
  <c r="BL5" i="8"/>
  <c r="BN5" i="8"/>
  <c r="BP5" i="8"/>
  <c r="BR5" i="8"/>
  <c r="BT5" i="8"/>
  <c r="BV5" i="8"/>
  <c r="BX5" i="8"/>
  <c r="BZ5" i="8"/>
  <c r="CB5" i="8"/>
  <c r="CD5" i="8"/>
  <c r="CF5" i="8"/>
  <c r="CH5" i="8"/>
  <c r="CH8" i="8" s="1"/>
  <c r="CK5" i="8"/>
  <c r="G6" i="8"/>
  <c r="I6" i="8"/>
  <c r="K6" i="8"/>
  <c r="M6" i="8"/>
  <c r="O6" i="8"/>
  <c r="O13" i="8" s="1"/>
  <c r="Q6" i="8"/>
  <c r="S6" i="8"/>
  <c r="U6" i="8"/>
  <c r="W6" i="8"/>
  <c r="Y6" i="8"/>
  <c r="Y13" i="8" s="1"/>
  <c r="AA6" i="8"/>
  <c r="AC6" i="8"/>
  <c r="AE6" i="8"/>
  <c r="AE13" i="8" s="1"/>
  <c r="AG6" i="8"/>
  <c r="AI6" i="8"/>
  <c r="AI13" i="8" s="1"/>
  <c r="AK6" i="8"/>
  <c r="AM6" i="8"/>
  <c r="AO6" i="8"/>
  <c r="AO12" i="8" s="1"/>
  <c r="AQ6" i="8"/>
  <c r="AS6" i="8"/>
  <c r="AU6" i="8"/>
  <c r="AW6" i="8"/>
  <c r="AY6" i="8"/>
  <c r="BA6" i="8"/>
  <c r="BA12" i="8" s="1"/>
  <c r="BC6" i="8"/>
  <c r="BE6" i="8"/>
  <c r="BG6" i="8"/>
  <c r="BG12" i="8" s="1"/>
  <c r="E5" i="8"/>
  <c r="E9" i="8" s="1"/>
  <c r="G5" i="8"/>
  <c r="G8" i="8" s="1"/>
  <c r="I5" i="8"/>
  <c r="I10" i="8" s="1"/>
  <c r="K5" i="8"/>
  <c r="K8" i="8" s="1"/>
  <c r="M5" i="8"/>
  <c r="O5" i="8"/>
  <c r="O10" i="8" s="1"/>
  <c r="Q5" i="8"/>
  <c r="S5" i="8"/>
  <c r="U5" i="8"/>
  <c r="W5" i="8"/>
  <c r="Y5" i="8"/>
  <c r="Y10" i="8" s="1"/>
  <c r="AA5" i="8"/>
  <c r="AC5" i="8"/>
  <c r="AE5" i="8"/>
  <c r="AE10" i="8" s="1"/>
  <c r="AG5" i="8"/>
  <c r="AI5" i="8"/>
  <c r="AI10" i="8" s="1"/>
  <c r="AK5" i="8"/>
  <c r="AM5" i="8"/>
  <c r="AO5" i="8"/>
  <c r="AO9" i="8" s="1"/>
  <c r="AQ5" i="8"/>
  <c r="AS5" i="8"/>
  <c r="AU5" i="8"/>
  <c r="AW5" i="8"/>
  <c r="AY5" i="8"/>
  <c r="BA5" i="8"/>
  <c r="BC5" i="8"/>
  <c r="BE5" i="8"/>
  <c r="BG5" i="8"/>
  <c r="BG9" i="8" s="1"/>
  <c r="BI5" i="8"/>
  <c r="BK5" i="8"/>
  <c r="BM5" i="8"/>
  <c r="BO5" i="8"/>
  <c r="BO8" i="8" s="1"/>
  <c r="BQ5" i="8"/>
  <c r="BS5" i="8"/>
  <c r="BU5" i="8"/>
  <c r="BU8" i="8" s="1"/>
  <c r="BW5" i="8"/>
  <c r="BY5" i="8"/>
  <c r="BY8" i="8" s="1"/>
  <c r="CA5" i="8"/>
  <c r="CA8" i="8" s="1"/>
  <c r="CC5" i="8"/>
  <c r="CC8" i="8" s="1"/>
  <c r="CE5" i="8"/>
  <c r="CG5" i="8"/>
  <c r="CG8" i="8" s="1"/>
  <c r="CI5" i="8"/>
  <c r="D6" i="8"/>
  <c r="F6" i="8"/>
  <c r="F13" i="8" s="1"/>
  <c r="H6" i="8"/>
  <c r="H13" i="8" s="1"/>
  <c r="J6" i="8"/>
  <c r="J12" i="8" s="1"/>
  <c r="L6" i="8"/>
  <c r="N6" i="8"/>
  <c r="P6" i="8"/>
  <c r="P13" i="8" s="1"/>
  <c r="R6" i="8"/>
  <c r="T6" i="8"/>
  <c r="V6" i="8"/>
  <c r="X6" i="8"/>
  <c r="X13" i="8" s="1"/>
  <c r="Z6" i="8"/>
  <c r="AB6" i="8"/>
  <c r="AD6" i="8"/>
  <c r="AD13" i="8" s="1"/>
  <c r="AF6" i="8"/>
  <c r="AF13" i="8" s="1"/>
  <c r="AH6" i="8"/>
  <c r="AJ6" i="8"/>
  <c r="AJ13" i="8" s="1"/>
  <c r="AN6" i="8"/>
  <c r="AP6" i="8"/>
  <c r="AP12" i="8" s="1"/>
  <c r="AR6" i="8"/>
  <c r="AR12" i="8" s="1"/>
  <c r="AT6" i="8"/>
  <c r="AV6" i="8"/>
  <c r="AV12" i="8" s="1"/>
  <c r="AX6" i="8"/>
  <c r="AX12" i="8" s="1"/>
  <c r="AZ6" i="8"/>
  <c r="BB6" i="8"/>
  <c r="BD6" i="8"/>
  <c r="BF6" i="8"/>
  <c r="BH6" i="8"/>
  <c r="BH12" i="8" s="1"/>
  <c r="BI6" i="8"/>
  <c r="BK6" i="8"/>
  <c r="BM6" i="8"/>
  <c r="BO6" i="8"/>
  <c r="BO11" i="8" s="1"/>
  <c r="BQ6" i="8"/>
  <c r="BS6" i="8"/>
  <c r="BU6" i="8"/>
  <c r="BU11" i="8" s="1"/>
  <c r="BW6" i="8"/>
  <c r="BY6" i="8"/>
  <c r="BY11" i="8" s="1"/>
  <c r="CA6" i="8"/>
  <c r="CA11" i="8" s="1"/>
  <c r="CC6" i="8"/>
  <c r="CC11" i="8" s="1"/>
  <c r="CE6" i="8"/>
  <c r="CG6" i="8"/>
  <c r="CG11" i="8" s="1"/>
  <c r="CI6" i="8"/>
  <c r="CK6" i="8"/>
  <c r="G7" i="8"/>
  <c r="I7" i="8"/>
  <c r="K7" i="8"/>
  <c r="M7" i="8"/>
  <c r="O7" i="8"/>
  <c r="Q7" i="8"/>
  <c r="S7" i="8"/>
  <c r="U7" i="8"/>
  <c r="W7" i="8"/>
  <c r="Y7" i="8"/>
  <c r="AA7" i="8"/>
  <c r="AC7" i="8"/>
  <c r="AE7" i="8"/>
  <c r="AG7" i="8"/>
  <c r="AI7" i="8"/>
  <c r="AK7" i="8"/>
  <c r="AM7" i="8"/>
  <c r="AO7" i="8"/>
  <c r="AQ7" i="8"/>
  <c r="AS7" i="8"/>
  <c r="AU7" i="8"/>
  <c r="AW7" i="8"/>
  <c r="AY7" i="8"/>
  <c r="BA7" i="8"/>
  <c r="BC7" i="8"/>
  <c r="BE7" i="8"/>
  <c r="BG7" i="8"/>
  <c r="BI7" i="8"/>
  <c r="BK7" i="8"/>
  <c r="BM7" i="8"/>
  <c r="BO7" i="8"/>
  <c r="BQ7" i="8"/>
  <c r="BS7" i="8"/>
  <c r="BU7" i="8"/>
  <c r="BW7" i="8"/>
  <c r="BY7" i="8"/>
  <c r="CA7" i="8"/>
  <c r="CC7" i="8"/>
  <c r="CE7" i="8"/>
  <c r="CG7" i="8"/>
  <c r="CI7" i="8"/>
  <c r="BJ6" i="8"/>
  <c r="BL6" i="8"/>
  <c r="BN6" i="8"/>
  <c r="BP6" i="8"/>
  <c r="BR6" i="8"/>
  <c r="BT6" i="8"/>
  <c r="BV6" i="8"/>
  <c r="BX6" i="8"/>
  <c r="BZ6" i="8"/>
  <c r="CB6" i="8"/>
  <c r="CD6" i="8"/>
  <c r="CF6" i="8"/>
  <c r="CH6" i="8"/>
  <c r="CH11" i="8" s="1"/>
  <c r="CJ6" i="8"/>
  <c r="CJ11" i="8" s="1"/>
  <c r="D7" i="8"/>
  <c r="F7" i="8"/>
  <c r="H7" i="8"/>
  <c r="J7" i="8"/>
  <c r="L7" i="8"/>
  <c r="N7" i="8"/>
  <c r="P7" i="8"/>
  <c r="R7" i="8"/>
  <c r="T7" i="8"/>
  <c r="V7" i="8"/>
  <c r="X7" i="8"/>
  <c r="Z7" i="8"/>
  <c r="AB7" i="8"/>
  <c r="AD7" i="8"/>
  <c r="AF7" i="8"/>
  <c r="AH7" i="8"/>
  <c r="AJ7" i="8"/>
  <c r="AN7" i="8"/>
  <c r="AP7" i="8"/>
  <c r="AR7" i="8"/>
  <c r="AT7" i="8"/>
  <c r="AV7" i="8"/>
  <c r="AX7" i="8"/>
  <c r="AZ7" i="8"/>
  <c r="BB7" i="8"/>
  <c r="BD7" i="8"/>
  <c r="BF7" i="8"/>
  <c r="BH7" i="8"/>
  <c r="BJ7" i="8"/>
  <c r="BL7" i="8"/>
  <c r="BN7" i="8"/>
  <c r="BP7" i="8"/>
  <c r="BR7" i="8"/>
  <c r="BT7" i="8"/>
  <c r="BV7" i="8"/>
  <c r="BX7" i="8"/>
  <c r="BZ7" i="8"/>
  <c r="CB7" i="8"/>
  <c r="CD7" i="8"/>
  <c r="CF7" i="8"/>
  <c r="CH7" i="8"/>
  <c r="CK7" i="8"/>
  <c r="CJ7" i="8"/>
  <c r="CJ5" i="8"/>
  <c r="CJ8" i="8" s="1"/>
  <c r="I9" i="8"/>
  <c r="I12" i="8"/>
  <c r="I13" i="8"/>
  <c r="H8" i="8"/>
  <c r="H9" i="8"/>
  <c r="H11" i="8"/>
  <c r="H12" i="8"/>
  <c r="D8" i="8"/>
  <c r="D9" i="8"/>
  <c r="D11" i="8"/>
  <c r="D12" i="8"/>
  <c r="D13" i="8"/>
  <c r="K9" i="8"/>
  <c r="K10" i="8"/>
  <c r="K11" i="8"/>
  <c r="K12" i="8"/>
  <c r="K13" i="8"/>
  <c r="G9" i="8"/>
  <c r="G10" i="8"/>
  <c r="G11" i="8"/>
  <c r="G12" i="8"/>
  <c r="G13" i="8"/>
  <c r="J8" i="8"/>
  <c r="J9" i="8"/>
  <c r="J10" i="8"/>
  <c r="J11" i="8"/>
  <c r="J13" i="8"/>
  <c r="F8" i="8"/>
  <c r="F9" i="8"/>
  <c r="F10" i="8"/>
  <c r="F11" i="8"/>
  <c r="F12" i="8"/>
  <c r="BY3" i="26"/>
  <c r="BY6" i="26" s="1"/>
  <c r="CA3" i="26"/>
  <c r="CA6" i="26" s="1"/>
  <c r="CC3" i="26"/>
  <c r="CC6" i="26" s="1"/>
  <c r="CE3" i="26"/>
  <c r="CE8" i="26" s="1"/>
  <c r="CG3" i="26"/>
  <c r="CG8" i="26" s="1"/>
  <c r="CI3" i="26"/>
  <c r="CI8" i="26" s="1"/>
  <c r="CK3" i="26"/>
  <c r="CK8" i="26" s="1"/>
  <c r="BY4" i="26"/>
  <c r="BY7" i="26" s="1"/>
  <c r="CA4" i="26"/>
  <c r="CA7" i="26" s="1"/>
  <c r="CC4" i="26"/>
  <c r="CC7" i="26" s="1"/>
  <c r="CE4" i="26"/>
  <c r="CE9" i="26" s="1"/>
  <c r="CG4" i="26"/>
  <c r="CG9" i="26" s="1"/>
  <c r="CI4" i="26"/>
  <c r="CI9" i="26" s="1"/>
  <c r="CK4" i="26"/>
  <c r="CK9" i="26" s="1"/>
  <c r="BM3" i="26"/>
  <c r="BM8" i="26" s="1"/>
  <c r="BO3" i="26"/>
  <c r="BO8" i="26" s="1"/>
  <c r="BQ3" i="26"/>
  <c r="BS3" i="26"/>
  <c r="BS8" i="26" s="1"/>
  <c r="BU3" i="26"/>
  <c r="BW3" i="26"/>
  <c r="BW8" i="26" s="1"/>
  <c r="BM4" i="26"/>
  <c r="BM9" i="26" s="1"/>
  <c r="BO4" i="26"/>
  <c r="BO9" i="26" s="1"/>
  <c r="BQ4" i="26"/>
  <c r="BQ9" i="26" s="1"/>
  <c r="BS4" i="26"/>
  <c r="BS9" i="26" s="1"/>
  <c r="BU4" i="26"/>
  <c r="BU7" i="26" s="1"/>
  <c r="BW4" i="26"/>
  <c r="BW9" i="26" s="1"/>
  <c r="BK3" i="26"/>
  <c r="BK8" i="26" s="1"/>
  <c r="BK4" i="26"/>
  <c r="BK9" i="26" s="1"/>
  <c r="I3" i="3"/>
  <c r="K3" i="3"/>
  <c r="M3" i="3"/>
  <c r="O3" i="3"/>
  <c r="Q3" i="3"/>
  <c r="S3" i="3"/>
  <c r="U3" i="3"/>
  <c r="W3" i="3"/>
  <c r="Y3" i="3"/>
  <c r="AA3" i="3"/>
  <c r="AC3" i="3"/>
  <c r="AE3" i="3"/>
  <c r="AG3" i="3"/>
  <c r="AI3" i="3"/>
  <c r="AK3" i="3"/>
  <c r="AM3" i="3"/>
  <c r="AO3" i="3"/>
  <c r="AQ3" i="3"/>
  <c r="AS3" i="3"/>
  <c r="AU3" i="3"/>
  <c r="AW3" i="3"/>
  <c r="AY3" i="3"/>
  <c r="BA3" i="3"/>
  <c r="BC3" i="3"/>
  <c r="BE3" i="3"/>
  <c r="BG3" i="3"/>
  <c r="BI3" i="3"/>
  <c r="BK3" i="3"/>
  <c r="BM3" i="3"/>
  <c r="BO3" i="3"/>
  <c r="BQ3" i="3"/>
  <c r="BS3" i="3"/>
  <c r="BU3" i="3"/>
  <c r="BW3" i="3"/>
  <c r="BY3" i="3"/>
  <c r="CA3" i="3"/>
  <c r="CC3" i="3"/>
  <c r="CE3" i="3"/>
  <c r="CG3" i="3"/>
  <c r="CI3" i="3"/>
  <c r="CK3" i="3"/>
  <c r="I4" i="3"/>
  <c r="K4" i="3"/>
  <c r="M4" i="3"/>
  <c r="O4" i="3"/>
  <c r="Q4" i="3"/>
  <c r="S4" i="3"/>
  <c r="U4" i="3"/>
  <c r="W4" i="3"/>
  <c r="Y4" i="3"/>
  <c r="AA4" i="3"/>
  <c r="AC4" i="3"/>
  <c r="AE4" i="3"/>
  <c r="AG4" i="3"/>
  <c r="AI4" i="3"/>
  <c r="AK4" i="3"/>
  <c r="AM4" i="3"/>
  <c r="AO4" i="3"/>
  <c r="AQ4" i="3"/>
  <c r="AS4" i="3"/>
  <c r="AU4" i="3"/>
  <c r="AW4" i="3"/>
  <c r="AY4" i="3"/>
  <c r="BA4" i="3"/>
  <c r="BC4" i="3"/>
  <c r="BE4" i="3"/>
  <c r="BG4" i="3"/>
  <c r="BI4" i="3"/>
  <c r="BK4" i="3"/>
  <c r="BM4" i="3"/>
  <c r="BO4" i="3"/>
  <c r="BQ4" i="3"/>
  <c r="BS4" i="3"/>
  <c r="BU4" i="3"/>
  <c r="BW4" i="3"/>
  <c r="BY4" i="3"/>
  <c r="CA4" i="3"/>
  <c r="CC4" i="3"/>
  <c r="CE4" i="3"/>
  <c r="CG4" i="3"/>
  <c r="CI4" i="3"/>
  <c r="CK4" i="3"/>
  <c r="I5" i="3"/>
  <c r="K5" i="3"/>
  <c r="M5" i="3"/>
  <c r="O5" i="3"/>
  <c r="Q5" i="3"/>
  <c r="S5" i="3"/>
  <c r="U5" i="3"/>
  <c r="W5" i="3"/>
  <c r="Y5" i="3"/>
  <c r="AA5" i="3"/>
  <c r="AC5" i="3"/>
  <c r="AE5" i="3"/>
  <c r="AG5" i="3"/>
  <c r="AI5" i="3"/>
  <c r="AK5" i="3"/>
  <c r="AM5" i="3"/>
  <c r="AO5" i="3"/>
  <c r="AQ5" i="3"/>
  <c r="AS5" i="3"/>
  <c r="AU5" i="3"/>
  <c r="AW5" i="3"/>
  <c r="AY5" i="3"/>
  <c r="BA5" i="3"/>
  <c r="BC5" i="3"/>
  <c r="BE5" i="3"/>
  <c r="BG5" i="3"/>
  <c r="BI5" i="3"/>
  <c r="BK5" i="3"/>
  <c r="BM5" i="3"/>
  <c r="BO5" i="3"/>
  <c r="BQ5" i="3"/>
  <c r="BS5" i="3"/>
  <c r="BU5" i="3"/>
  <c r="BW5" i="3"/>
  <c r="BY5" i="3"/>
  <c r="CA5" i="3"/>
  <c r="CC5" i="3"/>
  <c r="CE5" i="3"/>
  <c r="CG5" i="3"/>
  <c r="CI5" i="3"/>
  <c r="CK5" i="3"/>
  <c r="BX3" i="26"/>
  <c r="BX8" i="26" s="1"/>
  <c r="BZ3" i="26"/>
  <c r="BZ8" i="26" s="1"/>
  <c r="CB3" i="26"/>
  <c r="CB8" i="26" s="1"/>
  <c r="CD3" i="26"/>
  <c r="CD8" i="26" s="1"/>
  <c r="CF3" i="26"/>
  <c r="CF6" i="26" s="1"/>
  <c r="CH3" i="26"/>
  <c r="CH6" i="26" s="1"/>
  <c r="CJ3" i="26"/>
  <c r="CJ6" i="26" s="1"/>
  <c r="BX4" i="26"/>
  <c r="BX9" i="26" s="1"/>
  <c r="BZ4" i="26"/>
  <c r="BZ9" i="26" s="1"/>
  <c r="CB4" i="26"/>
  <c r="CD4" i="26"/>
  <c r="CD9" i="26" s="1"/>
  <c r="CF4" i="26"/>
  <c r="CF7" i="26" s="1"/>
  <c r="CH4" i="26"/>
  <c r="CH7" i="26" s="1"/>
  <c r="CJ4" i="26"/>
  <c r="BL3" i="26"/>
  <c r="BL6" i="26" s="1"/>
  <c r="BN3" i="26"/>
  <c r="BN8" i="26" s="1"/>
  <c r="BP3" i="26"/>
  <c r="BP8" i="26" s="1"/>
  <c r="BR3" i="26"/>
  <c r="BR8" i="26" s="1"/>
  <c r="BT3" i="26"/>
  <c r="BT8" i="26" s="1"/>
  <c r="BV3" i="26"/>
  <c r="BV8" i="26" s="1"/>
  <c r="BL4" i="26"/>
  <c r="BL7" i="26" s="1"/>
  <c r="BN4" i="26"/>
  <c r="BP4" i="26"/>
  <c r="BP9" i="26" s="1"/>
  <c r="BR4" i="26"/>
  <c r="BR9" i="26" s="1"/>
  <c r="BT4" i="26"/>
  <c r="BT9" i="26" s="1"/>
  <c r="BV4" i="26"/>
  <c r="BV9" i="26" s="1"/>
  <c r="BJ3" i="26"/>
  <c r="BJ6" i="26" s="1"/>
  <c r="BJ4" i="26"/>
  <c r="BJ7" i="26" s="1"/>
  <c r="H3" i="3"/>
  <c r="J3" i="3"/>
  <c r="L3" i="3"/>
  <c r="N3" i="3"/>
  <c r="P3" i="3"/>
  <c r="R3" i="3"/>
  <c r="T3" i="3"/>
  <c r="V3" i="3"/>
  <c r="X3" i="3"/>
  <c r="Z3" i="3"/>
  <c r="AB3" i="3"/>
  <c r="AD3" i="3"/>
  <c r="AF3" i="3"/>
  <c r="AH3" i="3"/>
  <c r="AJ3" i="3"/>
  <c r="AL3" i="3"/>
  <c r="AN3" i="3"/>
  <c r="AP3" i="3"/>
  <c r="AR3" i="3"/>
  <c r="AT3" i="3"/>
  <c r="AV3" i="3"/>
  <c r="AX3" i="3"/>
  <c r="AZ3" i="3"/>
  <c r="BB3" i="3"/>
  <c r="BD3" i="3"/>
  <c r="BF3" i="3"/>
  <c r="BH3" i="3"/>
  <c r="BJ3" i="3"/>
  <c r="BL3" i="3"/>
  <c r="BN3" i="3"/>
  <c r="BP3" i="3"/>
  <c r="BR3" i="3"/>
  <c r="BT3" i="3"/>
  <c r="BV3" i="3"/>
  <c r="BX3" i="3"/>
  <c r="BZ3" i="3"/>
  <c r="CB3" i="3"/>
  <c r="CD3" i="3"/>
  <c r="CF3" i="3"/>
  <c r="CH3" i="3"/>
  <c r="CJ3" i="3"/>
  <c r="H4" i="3"/>
  <c r="J4" i="3"/>
  <c r="L4" i="3"/>
  <c r="N4" i="3"/>
  <c r="P4" i="3"/>
  <c r="R4" i="3"/>
  <c r="T4" i="3"/>
  <c r="V4" i="3"/>
  <c r="X4" i="3"/>
  <c r="Z4" i="3"/>
  <c r="AB4" i="3"/>
  <c r="AD4" i="3"/>
  <c r="AF4" i="3"/>
  <c r="AH4" i="3"/>
  <c r="AJ4" i="3"/>
  <c r="AN4" i="3"/>
  <c r="AP4" i="3"/>
  <c r="AR4" i="3"/>
  <c r="AT4" i="3"/>
  <c r="AV4" i="3"/>
  <c r="AX4" i="3"/>
  <c r="AZ4" i="3"/>
  <c r="BB4" i="3"/>
  <c r="BD4" i="3"/>
  <c r="BF4" i="3"/>
  <c r="BH4" i="3"/>
  <c r="BJ4" i="3"/>
  <c r="BL4" i="3"/>
  <c r="BN4" i="3"/>
  <c r="BP4" i="3"/>
  <c r="BR4" i="3"/>
  <c r="BT4" i="3"/>
  <c r="BV4" i="3"/>
  <c r="BX4" i="3"/>
  <c r="BZ4" i="3"/>
  <c r="CB4" i="3"/>
  <c r="CD4" i="3"/>
  <c r="CF4" i="3"/>
  <c r="CH4" i="3"/>
  <c r="CJ4" i="3"/>
  <c r="H5" i="3"/>
  <c r="J5" i="3"/>
  <c r="L5" i="3"/>
  <c r="N5" i="3"/>
  <c r="P5" i="3"/>
  <c r="R5" i="3"/>
  <c r="T5" i="3"/>
  <c r="V5" i="3"/>
  <c r="X5" i="3"/>
  <c r="Z5" i="3"/>
  <c r="AB5" i="3"/>
  <c r="AD5" i="3"/>
  <c r="AF5" i="3"/>
  <c r="AH5" i="3"/>
  <c r="AJ5" i="3"/>
  <c r="AN5" i="3"/>
  <c r="AP5" i="3"/>
  <c r="AR5" i="3"/>
  <c r="AT5" i="3"/>
  <c r="AV5" i="3"/>
  <c r="AX5" i="3"/>
  <c r="AZ5" i="3"/>
  <c r="BB5" i="3"/>
  <c r="BD5" i="3"/>
  <c r="BF5" i="3"/>
  <c r="BH5" i="3"/>
  <c r="BJ5" i="3"/>
  <c r="BL5" i="3"/>
  <c r="BN5" i="3"/>
  <c r="BP5" i="3"/>
  <c r="BR5" i="3"/>
  <c r="BT5" i="3"/>
  <c r="BV5" i="3"/>
  <c r="BX5" i="3"/>
  <c r="BZ5" i="3"/>
  <c r="CB5" i="3"/>
  <c r="CD5" i="3"/>
  <c r="CF5" i="3"/>
  <c r="CH5" i="3"/>
  <c r="CJ5" i="3"/>
  <c r="E3" i="3"/>
  <c r="G3" i="3"/>
  <c r="G4" i="3"/>
  <c r="G5" i="3"/>
  <c r="D3" i="3"/>
  <c r="F3" i="3"/>
  <c r="D4" i="3"/>
  <c r="F4" i="3"/>
  <c r="D5" i="3"/>
  <c r="F5" i="3"/>
  <c r="BF30" i="21"/>
  <c r="BN29" i="21"/>
  <c r="CB29" i="21"/>
  <c r="AX29" i="21"/>
  <c r="J29" i="21"/>
  <c r="L29" i="21"/>
  <c r="BR29" i="21"/>
  <c r="BS29" i="21"/>
  <c r="AO29" i="21"/>
  <c r="BW29" i="21"/>
  <c r="AQ29" i="21"/>
  <c r="BB29" i="21"/>
  <c r="V29" i="21"/>
  <c r="W29" i="21"/>
  <c r="AS29" i="21"/>
  <c r="Y29" i="21"/>
  <c r="AD29" i="21"/>
  <c r="F29" i="21"/>
  <c r="BD29" i="21"/>
  <c r="AN29" i="21"/>
  <c r="BK30" i="21"/>
  <c r="BM29" i="21"/>
  <c r="BO29" i="21"/>
  <c r="AY29" i="21"/>
  <c r="CF29" i="21"/>
  <c r="AZ29" i="21"/>
  <c r="U29" i="21"/>
  <c r="BY29" i="21"/>
  <c r="X29" i="21"/>
  <c r="AJ29" i="21"/>
  <c r="BI29" i="21"/>
  <c r="AC29" i="21"/>
  <c r="CG29" i="21"/>
  <c r="BJ29" i="21"/>
  <c r="CE29" i="21"/>
  <c r="N2" i="26"/>
  <c r="E7" i="26"/>
  <c r="E6" i="26"/>
  <c r="G7" i="26"/>
  <c r="G6" i="26"/>
  <c r="I7" i="26"/>
  <c r="I6" i="26"/>
  <c r="K7" i="26"/>
  <c r="K6" i="26"/>
  <c r="O6" i="26"/>
  <c r="O7" i="26"/>
  <c r="Q6" i="26"/>
  <c r="Q7" i="26"/>
  <c r="C2" i="8"/>
  <c r="BC3" i="26"/>
  <c r="BC8" i="26" s="1"/>
  <c r="BE3" i="26"/>
  <c r="BE8" i="26" s="1"/>
  <c r="BG3" i="26"/>
  <c r="BG8" i="26" s="1"/>
  <c r="BI3" i="26"/>
  <c r="BQ8" i="26"/>
  <c r="BY8" i="26"/>
  <c r="BC4" i="26"/>
  <c r="BC9" i="26" s="1"/>
  <c r="BE4" i="26"/>
  <c r="BE9" i="26" s="1"/>
  <c r="BG4" i="26"/>
  <c r="BG9" i="26" s="1"/>
  <c r="BI4" i="26"/>
  <c r="BU9" i="26"/>
  <c r="CA9" i="26"/>
  <c r="BD3" i="26"/>
  <c r="BD8" i="26" s="1"/>
  <c r="BF3" i="26"/>
  <c r="BF8" i="26" s="1"/>
  <c r="BH3" i="26"/>
  <c r="BH8" i="26" s="1"/>
  <c r="BJ8" i="26"/>
  <c r="BZ6" i="26"/>
  <c r="BD4" i="26"/>
  <c r="BD9" i="26" s="1"/>
  <c r="BF4" i="26"/>
  <c r="BF9" i="26" s="1"/>
  <c r="BH4" i="26"/>
  <c r="BH9" i="26" s="1"/>
  <c r="BJ9" i="26"/>
  <c r="BN9" i="26"/>
  <c r="BX7" i="26"/>
  <c r="CB9" i="26"/>
  <c r="F7" i="26"/>
  <c r="F6" i="26"/>
  <c r="H7" i="26"/>
  <c r="H6" i="26"/>
  <c r="J7" i="26"/>
  <c r="J6" i="26"/>
  <c r="M6" i="26"/>
  <c r="M7" i="26"/>
  <c r="P7" i="26"/>
  <c r="P6" i="26"/>
  <c r="E3" i="26"/>
  <c r="E8" i="26" s="1"/>
  <c r="I3" i="26"/>
  <c r="I8" i="26" s="1"/>
  <c r="M3" i="26"/>
  <c r="M8" i="26" s="1"/>
  <c r="Q3" i="26"/>
  <c r="Q8" i="26" s="1"/>
  <c r="U3" i="26"/>
  <c r="U8" i="26" s="1"/>
  <c r="Y3" i="26"/>
  <c r="Y8" i="26" s="1"/>
  <c r="AC3" i="26"/>
  <c r="AC8" i="26" s="1"/>
  <c r="AG3" i="26"/>
  <c r="AK3" i="26"/>
  <c r="AK8" i="26" s="1"/>
  <c r="AO3" i="26"/>
  <c r="AS3" i="26"/>
  <c r="AS8" i="26" s="1"/>
  <c r="AW3" i="26"/>
  <c r="AW8" i="26" s="1"/>
  <c r="BA3" i="26"/>
  <c r="BA8" i="26" s="1"/>
  <c r="F4" i="26"/>
  <c r="F9" i="26" s="1"/>
  <c r="J4" i="26"/>
  <c r="J9" i="26" s="1"/>
  <c r="N4" i="26"/>
  <c r="R4" i="26"/>
  <c r="R9" i="26" s="1"/>
  <c r="V4" i="26"/>
  <c r="V9" i="26" s="1"/>
  <c r="Z4" i="26"/>
  <c r="AD4" i="26"/>
  <c r="AD9" i="26" s="1"/>
  <c r="AH4" i="26"/>
  <c r="AP4" i="26"/>
  <c r="AP9" i="26" s="1"/>
  <c r="AT4" i="26"/>
  <c r="AT9" i="26" s="1"/>
  <c r="AX4" i="26"/>
  <c r="AX9" i="26" s="1"/>
  <c r="BB4" i="26"/>
  <c r="BB9" i="26" s="1"/>
  <c r="F3" i="26"/>
  <c r="F8" i="26" s="1"/>
  <c r="G3" i="26"/>
  <c r="G8" i="26" s="1"/>
  <c r="K3" i="26"/>
  <c r="K8" i="26" s="1"/>
  <c r="O3" i="26"/>
  <c r="O8" i="26" s="1"/>
  <c r="S3" i="26"/>
  <c r="W3" i="26"/>
  <c r="W8" i="26" s="1"/>
  <c r="AE3" i="26"/>
  <c r="AE8" i="26" s="1"/>
  <c r="AI3" i="26"/>
  <c r="AI8" i="26" s="1"/>
  <c r="AM3" i="26"/>
  <c r="AM8" i="26" s="1"/>
  <c r="AQ3" i="26"/>
  <c r="AU3" i="26"/>
  <c r="AU8" i="26" s="1"/>
  <c r="AY3" i="26"/>
  <c r="AY8" i="26" s="1"/>
  <c r="H4" i="26"/>
  <c r="H9" i="26" s="1"/>
  <c r="L4" i="26"/>
  <c r="L9" i="26" s="1"/>
  <c r="P4" i="26"/>
  <c r="P9" i="26" s="1"/>
  <c r="T4" i="26"/>
  <c r="X4" i="26"/>
  <c r="X9" i="26" s="1"/>
  <c r="AB4" i="26"/>
  <c r="AB9" i="26" s="1"/>
  <c r="AF4" i="26"/>
  <c r="AF9" i="26" s="1"/>
  <c r="AN4" i="26"/>
  <c r="AN9" i="26" s="1"/>
  <c r="AR4" i="26"/>
  <c r="AR9" i="26" s="1"/>
  <c r="AV4" i="26"/>
  <c r="AV9" i="26" s="1"/>
  <c r="AZ4" i="26"/>
  <c r="AZ9" i="26" s="1"/>
  <c r="H3" i="26"/>
  <c r="H8" i="26" s="1"/>
  <c r="L3" i="26"/>
  <c r="L8" i="26" s="1"/>
  <c r="P3" i="26"/>
  <c r="P8" i="26" s="1"/>
  <c r="T3" i="26"/>
  <c r="X3" i="26"/>
  <c r="X8" i="26" s="1"/>
  <c r="AB3" i="26"/>
  <c r="AB8" i="26" s="1"/>
  <c r="AF3" i="26"/>
  <c r="AF8" i="26" s="1"/>
  <c r="AJ3" i="26"/>
  <c r="AJ8" i="26" s="1"/>
  <c r="AN3" i="26"/>
  <c r="AN8" i="26" s="1"/>
  <c r="AR3" i="26"/>
  <c r="AR8" i="26" s="1"/>
  <c r="AV3" i="26"/>
  <c r="AV8" i="26" s="1"/>
  <c r="AZ3" i="26"/>
  <c r="AZ8" i="26" s="1"/>
  <c r="I4" i="26"/>
  <c r="I9" i="26" s="1"/>
  <c r="M4" i="26"/>
  <c r="M9" i="26" s="1"/>
  <c r="Q4" i="26"/>
  <c r="Q9" i="26" s="1"/>
  <c r="U4" i="26"/>
  <c r="U9" i="26" s="1"/>
  <c r="Y4" i="26"/>
  <c r="Y9" i="26" s="1"/>
  <c r="AC4" i="26"/>
  <c r="AC9" i="26" s="1"/>
  <c r="AG4" i="26"/>
  <c r="AK4" i="26"/>
  <c r="AK9" i="26" s="1"/>
  <c r="AO4" i="26"/>
  <c r="AS4" i="26"/>
  <c r="AS9" i="26" s="1"/>
  <c r="AW4" i="26"/>
  <c r="AW9" i="26" s="1"/>
  <c r="BA4" i="26"/>
  <c r="BA9" i="26" s="1"/>
  <c r="J3" i="26"/>
  <c r="J8" i="26" s="1"/>
  <c r="Z3" i="26"/>
  <c r="AP3" i="26"/>
  <c r="AP8" i="26" s="1"/>
  <c r="O4" i="26"/>
  <c r="O9" i="26" s="1"/>
  <c r="AE4" i="26"/>
  <c r="AE9" i="26" s="1"/>
  <c r="AU4" i="26"/>
  <c r="AU9" i="26" s="1"/>
  <c r="N3" i="26"/>
  <c r="AD3" i="26"/>
  <c r="AD8" i="26" s="1"/>
  <c r="AT3" i="26"/>
  <c r="AT8" i="26" s="1"/>
  <c r="S4" i="26"/>
  <c r="AI4" i="26"/>
  <c r="AI9" i="26" s="1"/>
  <c r="AY4" i="26"/>
  <c r="AY9" i="26" s="1"/>
  <c r="R3" i="26"/>
  <c r="R8" i="26" s="1"/>
  <c r="AH3" i="26"/>
  <c r="AX3" i="26"/>
  <c r="AX8" i="26" s="1"/>
  <c r="G4" i="26"/>
  <c r="G9" i="26" s="1"/>
  <c r="W4" i="26"/>
  <c r="W9" i="26" s="1"/>
  <c r="AM4" i="26"/>
  <c r="AM9" i="26" s="1"/>
  <c r="V3" i="26"/>
  <c r="V8" i="26" s="1"/>
  <c r="AL3" i="26"/>
  <c r="AL8" i="26" s="1"/>
  <c r="BB3" i="26"/>
  <c r="BB8" i="26" s="1"/>
  <c r="K4" i="26"/>
  <c r="K9" i="26" s="1"/>
  <c r="AQ4" i="26"/>
  <c r="F28" i="1"/>
  <c r="C31" i="3"/>
  <c r="C2" i="2"/>
  <c r="C3" i="2"/>
  <c r="C4" i="2"/>
  <c r="C5" i="2"/>
  <c r="C6" i="2"/>
  <c r="C7" i="2"/>
  <c r="C8" i="2"/>
  <c r="C1" i="2"/>
  <c r="B55" i="3"/>
  <c r="B54" i="3"/>
  <c r="B53" i="3"/>
  <c r="B52" i="3"/>
  <c r="B51" i="3"/>
  <c r="B50" i="3"/>
  <c r="B49" i="3"/>
  <c r="B48" i="3"/>
  <c r="B47" i="3"/>
  <c r="B46" i="3"/>
  <c r="B45" i="3"/>
  <c r="B44" i="3"/>
  <c r="B43" i="3"/>
  <c r="B42" i="3"/>
  <c r="B41" i="3"/>
  <c r="B40" i="3"/>
  <c r="B39" i="3"/>
  <c r="B38" i="3"/>
  <c r="B37" i="3"/>
  <c r="B36" i="3"/>
  <c r="B35" i="3"/>
  <c r="B34" i="3"/>
  <c r="B33" i="3"/>
  <c r="B32" i="3"/>
  <c r="B31" i="3"/>
  <c r="B30" i="3"/>
  <c r="D3" i="2"/>
  <c r="D4" i="2"/>
  <c r="D5" i="2"/>
  <c r="D6" i="2"/>
  <c r="C2" i="26" s="1"/>
  <c r="D7" i="2"/>
  <c r="D8" i="2"/>
  <c r="D29" i="31" s="1"/>
  <c r="D2" i="2"/>
  <c r="D1" i="2"/>
  <c r="C1" i="33" s="1"/>
  <c r="C8" i="33" s="1"/>
  <c r="B2" i="2"/>
  <c r="B1" i="2"/>
  <c r="D31" i="2"/>
  <c r="D30" i="2"/>
  <c r="D27" i="2"/>
  <c r="D26" i="2"/>
  <c r="D24" i="2"/>
  <c r="D19" i="2"/>
  <c r="D18" i="2"/>
  <c r="D16" i="2"/>
  <c r="D15" i="2"/>
  <c r="D14" i="2"/>
  <c r="D11" i="2"/>
  <c r="D10" i="2"/>
  <c r="AS7" i="33" l="1"/>
  <c r="BC7" i="33"/>
  <c r="CA7" i="33"/>
  <c r="AW7" i="33"/>
  <c r="Q7" i="33"/>
  <c r="BB7" i="33"/>
  <c r="V7" i="33"/>
  <c r="F7" i="33"/>
  <c r="BH7" i="33"/>
  <c r="AR7" i="33"/>
  <c r="AB7" i="33"/>
  <c r="L7" i="33"/>
  <c r="BG7" i="33"/>
  <c r="AA7" i="33"/>
  <c r="BR7" i="33"/>
  <c r="CF8" i="26"/>
  <c r="BW7" i="26"/>
  <c r="K29" i="21"/>
  <c r="CK29" i="21"/>
  <c r="CH7" i="33"/>
  <c r="AC7" i="33"/>
  <c r="AM7" i="33"/>
  <c r="CC7" i="33"/>
  <c r="U7" i="33"/>
  <c r="CB7" i="33"/>
  <c r="AY7" i="33"/>
  <c r="S7" i="33"/>
  <c r="BU7" i="33"/>
  <c r="AO7" i="33"/>
  <c r="I7" i="33"/>
  <c r="BN7" i="33"/>
  <c r="AX7" i="33"/>
  <c r="AH7" i="33"/>
  <c r="R7" i="33"/>
  <c r="BT7" i="33"/>
  <c r="BD7" i="33"/>
  <c r="AN7" i="33"/>
  <c r="X7" i="33"/>
  <c r="H7" i="33"/>
  <c r="BW7" i="33"/>
  <c r="AQ7" i="33"/>
  <c r="K7" i="33"/>
  <c r="CI7" i="33"/>
  <c r="BZ7" i="33"/>
  <c r="AT7" i="33"/>
  <c r="N7" i="33"/>
  <c r="O29" i="21"/>
  <c r="BI7" i="33"/>
  <c r="BS7" i="33"/>
  <c r="G7" i="33"/>
  <c r="BA7" i="33"/>
  <c r="CJ7" i="33"/>
  <c r="BO7" i="33"/>
  <c r="AI7" i="33"/>
  <c r="CE7" i="33"/>
  <c r="BE7" i="33"/>
  <c r="Y7" i="33"/>
  <c r="BV7" i="33"/>
  <c r="BF7" i="33"/>
  <c r="AP7" i="33"/>
  <c r="Z7" i="33"/>
  <c r="J7" i="33"/>
  <c r="BL7" i="33"/>
  <c r="AV7" i="33"/>
  <c r="AF7" i="33"/>
  <c r="P7" i="33"/>
  <c r="I11" i="8"/>
  <c r="I8" i="8"/>
  <c r="M29" i="21"/>
  <c r="CL29" i="21"/>
  <c r="S29" i="21"/>
  <c r="AV29" i="21"/>
  <c r="CF9" i="26"/>
  <c r="CJ8" i="26"/>
  <c r="AQ8" i="26"/>
  <c r="AQ6" i="26"/>
  <c r="BX12" i="8"/>
  <c r="BX11" i="8"/>
  <c r="BP13" i="8"/>
  <c r="BP11" i="8"/>
  <c r="BW12" i="8"/>
  <c r="BW11" i="8"/>
  <c r="AZ13" i="8"/>
  <c r="AZ12" i="8"/>
  <c r="AB11" i="8"/>
  <c r="AB13" i="8"/>
  <c r="T11" i="8"/>
  <c r="T13" i="8"/>
  <c r="L12" i="8"/>
  <c r="L13" i="8"/>
  <c r="BE10" i="8"/>
  <c r="BE9" i="8"/>
  <c r="AW10" i="8"/>
  <c r="AW9" i="8"/>
  <c r="AG8" i="8"/>
  <c r="AG10" i="8"/>
  <c r="Q9" i="8"/>
  <c r="Q10" i="8"/>
  <c r="BE13" i="8"/>
  <c r="BE12" i="8"/>
  <c r="AW13" i="8"/>
  <c r="AW12" i="8"/>
  <c r="AG11" i="8"/>
  <c r="AG13" i="8"/>
  <c r="Q12" i="8"/>
  <c r="Q13" i="8"/>
  <c r="BX9" i="8"/>
  <c r="BX8" i="8"/>
  <c r="BP10" i="8"/>
  <c r="BP8" i="8"/>
  <c r="AZ10" i="8"/>
  <c r="AZ9" i="8"/>
  <c r="AB8" i="8"/>
  <c r="AB10" i="8"/>
  <c r="T8" i="8"/>
  <c r="T10" i="8"/>
  <c r="L9" i="8"/>
  <c r="L10" i="8"/>
  <c r="F28" i="2"/>
  <c r="AM28" i="2"/>
  <c r="BL29" i="21"/>
  <c r="BQ29" i="21"/>
  <c r="CJ9" i="26"/>
  <c r="CJ7" i="26"/>
  <c r="CD13" i="8"/>
  <c r="CD11" i="8"/>
  <c r="BV12" i="8"/>
  <c r="BV11" i="8"/>
  <c r="BF11" i="8"/>
  <c r="BF12" i="8"/>
  <c r="AH11" i="8"/>
  <c r="AH13" i="8"/>
  <c r="Z11" i="8"/>
  <c r="Z13" i="8"/>
  <c r="R11" i="8"/>
  <c r="R13" i="8"/>
  <c r="BS9" i="8"/>
  <c r="BS8" i="8"/>
  <c r="BK10" i="8"/>
  <c r="BK9" i="8"/>
  <c r="BC10" i="8"/>
  <c r="BC9" i="8"/>
  <c r="AU8" i="8"/>
  <c r="AU9" i="8"/>
  <c r="AM8" i="8"/>
  <c r="AM9" i="8"/>
  <c r="W9" i="8"/>
  <c r="W10" i="8"/>
  <c r="BC13" i="8"/>
  <c r="BC12" i="8"/>
  <c r="AU11" i="8"/>
  <c r="AU12" i="8"/>
  <c r="AM11" i="8"/>
  <c r="AM12" i="8"/>
  <c r="W12" i="8"/>
  <c r="W13" i="8"/>
  <c r="CD10" i="8"/>
  <c r="CD8" i="8"/>
  <c r="BV9" i="8"/>
  <c r="BV8" i="8"/>
  <c r="BF8" i="8"/>
  <c r="BF9" i="8"/>
  <c r="AH8" i="8"/>
  <c r="AH10" i="8"/>
  <c r="Z8" i="8"/>
  <c r="Z10" i="8"/>
  <c r="R8" i="8"/>
  <c r="R10" i="8"/>
  <c r="AQ9" i="26"/>
  <c r="AQ7" i="26"/>
  <c r="AO9" i="26"/>
  <c r="AO7" i="26"/>
  <c r="AO8" i="26"/>
  <c r="AO6" i="26"/>
  <c r="BT13" i="8"/>
  <c r="BT11" i="8"/>
  <c r="BS12" i="8"/>
  <c r="BS11" i="8"/>
  <c r="BK13" i="8"/>
  <c r="BK12" i="8"/>
  <c r="BD13" i="8"/>
  <c r="BD12" i="8"/>
  <c r="AN11" i="8"/>
  <c r="AN12" i="8"/>
  <c r="BI8" i="8"/>
  <c r="BI9" i="8"/>
  <c r="BA9" i="8"/>
  <c r="AS10" i="8"/>
  <c r="AS9" i="8"/>
  <c r="AK9" i="8"/>
  <c r="AK10" i="8"/>
  <c r="AC8" i="8"/>
  <c r="AC10" i="8"/>
  <c r="U9" i="8"/>
  <c r="U10" i="8"/>
  <c r="M8" i="8"/>
  <c r="M10" i="8"/>
  <c r="AS13" i="8"/>
  <c r="AS12" i="8"/>
  <c r="AK12" i="8"/>
  <c r="AK13" i="8"/>
  <c r="AC11" i="8"/>
  <c r="AC13" i="8"/>
  <c r="U12" i="8"/>
  <c r="U13" i="8"/>
  <c r="M11" i="8"/>
  <c r="M13" i="8"/>
  <c r="BT10" i="8"/>
  <c r="BT8" i="8"/>
  <c r="BD10" i="8"/>
  <c r="BD9" i="8"/>
  <c r="AN8" i="8"/>
  <c r="AN9" i="8"/>
  <c r="E10" i="8"/>
  <c r="CC9" i="26"/>
  <c r="CA8" i="26"/>
  <c r="BU8" i="26"/>
  <c r="BU6" i="26"/>
  <c r="BJ11" i="8"/>
  <c r="BJ12" i="8"/>
  <c r="BI11" i="8"/>
  <c r="BI12" i="8"/>
  <c r="BB13" i="8"/>
  <c r="BB12" i="8"/>
  <c r="AT13" i="8"/>
  <c r="AT12" i="8"/>
  <c r="V12" i="8"/>
  <c r="V13" i="8"/>
  <c r="N12" i="8"/>
  <c r="N13" i="8"/>
  <c r="BW9" i="8"/>
  <c r="BW8" i="8"/>
  <c r="AY10" i="8"/>
  <c r="AY9" i="8"/>
  <c r="AQ10" i="8"/>
  <c r="AQ9" i="8"/>
  <c r="AA9" i="8"/>
  <c r="AA10" i="8"/>
  <c r="S9" i="8"/>
  <c r="S10" i="8"/>
  <c r="AY13" i="8"/>
  <c r="AY12" i="8"/>
  <c r="AQ13" i="8"/>
  <c r="AQ12" i="8"/>
  <c r="AA12" i="8"/>
  <c r="AA13" i="8"/>
  <c r="S12" i="8"/>
  <c r="S13" i="8"/>
  <c r="BJ8" i="8"/>
  <c r="BJ9" i="8"/>
  <c r="BB10" i="8"/>
  <c r="BB9" i="8"/>
  <c r="AT10" i="8"/>
  <c r="AT9" i="8"/>
  <c r="AL10" i="8"/>
  <c r="AL9" i="8"/>
  <c r="V9" i="8"/>
  <c r="V10" i="8"/>
  <c r="N9" i="8"/>
  <c r="N10" i="8"/>
  <c r="BY9" i="26"/>
  <c r="BW6" i="26"/>
  <c r="CH8" i="26"/>
  <c r="CE6" i="26"/>
  <c r="CL9" i="8"/>
  <c r="CL6" i="3"/>
  <c r="CL12" i="8"/>
  <c r="CH9" i="26"/>
  <c r="BZ7" i="26"/>
  <c r="BL9" i="26"/>
  <c r="BX6" i="26"/>
  <c r="BL8" i="26"/>
  <c r="BA29" i="21"/>
  <c r="N29" i="21"/>
  <c r="I29" i="21"/>
  <c r="H29" i="21"/>
  <c r="N6" i="26"/>
  <c r="N7" i="26"/>
  <c r="CC8" i="26"/>
  <c r="D6" i="3"/>
  <c r="CE7" i="26"/>
  <c r="AE29" i="21"/>
  <c r="BC29" i="21"/>
  <c r="CF39" i="2"/>
  <c r="BX39" i="2"/>
  <c r="BP39" i="2"/>
  <c r="BH39" i="2"/>
  <c r="CL39" i="2"/>
  <c r="CD39" i="2"/>
  <c r="BV39" i="2"/>
  <c r="BN39" i="2"/>
  <c r="BF39" i="2"/>
  <c r="CM39" i="2"/>
  <c r="CI39" i="2"/>
  <c r="CE39" i="2"/>
  <c r="CA39" i="2"/>
  <c r="BW39" i="2"/>
  <c r="BS39" i="2"/>
  <c r="BO39" i="2"/>
  <c r="BK39" i="2"/>
  <c r="BG39" i="2"/>
  <c r="BC39" i="2"/>
  <c r="AY39" i="2"/>
  <c r="AU39" i="2"/>
  <c r="AQ39" i="2"/>
  <c r="AI39" i="2"/>
  <c r="AE39" i="2"/>
  <c r="AA39" i="2"/>
  <c r="W39" i="2"/>
  <c r="S39" i="2"/>
  <c r="O39" i="2"/>
  <c r="K39" i="2"/>
  <c r="G39" i="2"/>
  <c r="AX39" i="2"/>
  <c r="AT39" i="2"/>
  <c r="AP39" i="2"/>
  <c r="AL39" i="2"/>
  <c r="AH39" i="2"/>
  <c r="AD39" i="2"/>
  <c r="Z39" i="2"/>
  <c r="V39" i="2"/>
  <c r="R39" i="2"/>
  <c r="N39" i="2"/>
  <c r="J39" i="2"/>
  <c r="CJ39" i="2"/>
  <c r="CB39" i="2"/>
  <c r="BT39" i="2"/>
  <c r="BL39" i="2"/>
  <c r="BD39" i="2"/>
  <c r="CH39" i="2"/>
  <c r="BZ39" i="2"/>
  <c r="BR39" i="2"/>
  <c r="BJ39" i="2"/>
  <c r="BB39" i="2"/>
  <c r="CK39" i="2"/>
  <c r="CG39" i="2"/>
  <c r="CC39" i="2"/>
  <c r="BY39" i="2"/>
  <c r="BU39" i="2"/>
  <c r="BQ39" i="2"/>
  <c r="BM39" i="2"/>
  <c r="BI39" i="2"/>
  <c r="BE39" i="2"/>
  <c r="BA39" i="2"/>
  <c r="AW39" i="2"/>
  <c r="AS39" i="2"/>
  <c r="AO39" i="2"/>
  <c r="AK39" i="2"/>
  <c r="AG39" i="2"/>
  <c r="AC39" i="2"/>
  <c r="Y39" i="2"/>
  <c r="U39" i="2"/>
  <c r="Q39" i="2"/>
  <c r="M39" i="2"/>
  <c r="I39" i="2"/>
  <c r="E39" i="2"/>
  <c r="AZ39" i="2"/>
  <c r="AV39" i="2"/>
  <c r="AR39" i="2"/>
  <c r="AN39" i="2"/>
  <c r="AJ39" i="2"/>
  <c r="AF39" i="2"/>
  <c r="AB39" i="2"/>
  <c r="X39" i="2"/>
  <c r="T39" i="2"/>
  <c r="P39" i="2"/>
  <c r="L39" i="2"/>
  <c r="H39" i="2"/>
  <c r="CF11" i="8"/>
  <c r="CF13" i="8"/>
  <c r="CB11" i="8"/>
  <c r="CB12" i="8"/>
  <c r="BL13" i="8"/>
  <c r="BL12" i="8"/>
  <c r="CI13" i="8"/>
  <c r="CI11" i="8"/>
  <c r="CE13" i="8"/>
  <c r="CE11" i="8"/>
  <c r="BO12" i="8"/>
  <c r="BO13" i="8"/>
  <c r="CG10" i="8"/>
  <c r="CG9" i="8"/>
  <c r="CC9" i="8"/>
  <c r="CC10" i="8"/>
  <c r="BY9" i="8"/>
  <c r="BY10" i="8"/>
  <c r="BU10" i="8"/>
  <c r="BU9" i="8"/>
  <c r="BQ10" i="8"/>
  <c r="BQ8" i="8"/>
  <c r="BM9" i="8"/>
  <c r="BM8" i="8"/>
  <c r="CH9" i="8"/>
  <c r="CH10" i="8"/>
  <c r="BZ10" i="8"/>
  <c r="BZ8" i="8"/>
  <c r="BR8" i="8"/>
  <c r="BR9" i="8"/>
  <c r="BN8" i="8"/>
  <c r="BN9" i="8"/>
  <c r="CH12" i="8"/>
  <c r="CH13" i="8"/>
  <c r="BZ13" i="8"/>
  <c r="BZ11" i="8"/>
  <c r="BR11" i="8"/>
  <c r="BR12" i="8"/>
  <c r="BN11" i="8"/>
  <c r="BN12" i="8"/>
  <c r="CK11" i="8"/>
  <c r="CK12" i="8"/>
  <c r="CG13" i="8"/>
  <c r="CG12" i="8"/>
  <c r="CC12" i="8"/>
  <c r="CC13" i="8"/>
  <c r="BY12" i="8"/>
  <c r="BY13" i="8"/>
  <c r="BU13" i="8"/>
  <c r="BU12" i="8"/>
  <c r="BQ13" i="8"/>
  <c r="BQ11" i="8"/>
  <c r="BM12" i="8"/>
  <c r="BM11" i="8"/>
  <c r="CI10" i="8"/>
  <c r="CI8" i="8"/>
  <c r="CE10" i="8"/>
  <c r="CE8" i="8"/>
  <c r="BO9" i="8"/>
  <c r="BO10" i="8"/>
  <c r="CK8" i="8"/>
  <c r="CK9" i="8"/>
  <c r="CF8" i="8"/>
  <c r="CF10" i="8"/>
  <c r="CB8" i="8"/>
  <c r="CB9" i="8"/>
  <c r="BL10" i="8"/>
  <c r="BL9" i="8"/>
  <c r="CJ6" i="3"/>
  <c r="CF6" i="3"/>
  <c r="CB6" i="3"/>
  <c r="BT6" i="3"/>
  <c r="BP6" i="3"/>
  <c r="BL6" i="3"/>
  <c r="CH6" i="3"/>
  <c r="CD6" i="3"/>
  <c r="BZ6" i="3"/>
  <c r="BV6" i="3"/>
  <c r="BR6" i="3"/>
  <c r="BN6" i="3"/>
  <c r="BJ6" i="3"/>
  <c r="BF6" i="3"/>
  <c r="BB6" i="3"/>
  <c r="AX6" i="3"/>
  <c r="AT6" i="3"/>
  <c r="AP6" i="3"/>
  <c r="AH6" i="3"/>
  <c r="AD6" i="3"/>
  <c r="Z6" i="3"/>
  <c r="V6" i="3"/>
  <c r="R6" i="3"/>
  <c r="N6" i="3"/>
  <c r="J6" i="3"/>
  <c r="CI6" i="3"/>
  <c r="CE6" i="3"/>
  <c r="CA6" i="3"/>
  <c r="BW6" i="3"/>
  <c r="BS6" i="3"/>
  <c r="BO6" i="3"/>
  <c r="BK6" i="3"/>
  <c r="BG6" i="3"/>
  <c r="BC6" i="3"/>
  <c r="AY6" i="3"/>
  <c r="AU6" i="3"/>
  <c r="AQ6" i="3"/>
  <c r="AM6" i="3"/>
  <c r="AI6" i="3"/>
  <c r="AE6" i="3"/>
  <c r="AA6" i="3"/>
  <c r="W6" i="3"/>
  <c r="S6" i="3"/>
  <c r="O6" i="3"/>
  <c r="K6" i="3"/>
  <c r="AG27" i="21"/>
  <c r="AG28" i="21" s="1"/>
  <c r="F6" i="3"/>
  <c r="G6" i="3"/>
  <c r="BX6" i="3"/>
  <c r="BH6" i="3"/>
  <c r="BD6" i="3"/>
  <c r="AZ6" i="3"/>
  <c r="AV6" i="3"/>
  <c r="AR6" i="3"/>
  <c r="AN6" i="3"/>
  <c r="AJ6" i="3"/>
  <c r="AF6" i="3"/>
  <c r="AB6" i="3"/>
  <c r="X6" i="3"/>
  <c r="T6" i="3"/>
  <c r="P6" i="3"/>
  <c r="L6" i="3"/>
  <c r="H6" i="3"/>
  <c r="CK6" i="3"/>
  <c r="CG6" i="3"/>
  <c r="CC6" i="3"/>
  <c r="BY6" i="3"/>
  <c r="BU6" i="3"/>
  <c r="BQ6" i="3"/>
  <c r="BM6" i="3"/>
  <c r="BI6" i="3"/>
  <c r="BE6" i="3"/>
  <c r="BA6" i="3"/>
  <c r="AW6" i="3"/>
  <c r="AS6" i="3"/>
  <c r="AO6" i="3"/>
  <c r="AK6" i="3"/>
  <c r="AG6" i="3"/>
  <c r="AC6" i="3"/>
  <c r="Y6" i="3"/>
  <c r="U6" i="3"/>
  <c r="Q6" i="3"/>
  <c r="M6" i="3"/>
  <c r="I6" i="3"/>
  <c r="Z6" i="26"/>
  <c r="Z8" i="26"/>
  <c r="S6" i="26"/>
  <c r="D12" i="26" s="1"/>
  <c r="S8" i="26"/>
  <c r="AH9" i="26"/>
  <c r="AH7" i="26"/>
  <c r="Z7" i="26"/>
  <c r="Z9" i="26"/>
  <c r="AG7" i="26"/>
  <c r="AG9" i="26"/>
  <c r="T9" i="26"/>
  <c r="T7" i="26"/>
  <c r="AG6" i="26"/>
  <c r="AG8" i="26"/>
  <c r="BI7" i="26"/>
  <c r="BI9" i="26"/>
  <c r="BI6" i="26"/>
  <c r="BI8" i="26"/>
  <c r="AH8" i="26"/>
  <c r="AH6" i="26"/>
  <c r="S7" i="26"/>
  <c r="S9" i="26"/>
  <c r="T8" i="26"/>
  <c r="T6" i="26"/>
  <c r="AH30" i="21"/>
  <c r="BZ30" i="21"/>
  <c r="AH29" i="21"/>
  <c r="BD30" i="21"/>
  <c r="AA30" i="21"/>
  <c r="AS30" i="21"/>
  <c r="AR30" i="21"/>
  <c r="O30" i="21"/>
  <c r="BV30" i="21"/>
  <c r="BR30" i="21"/>
  <c r="BQ30" i="21"/>
  <c r="AV30" i="21"/>
  <c r="AL29" i="21"/>
  <c r="AE30" i="21"/>
  <c r="BC30" i="21"/>
  <c r="BA30" i="21"/>
  <c r="BU30" i="21"/>
  <c r="M30" i="21"/>
  <c r="BP30" i="21"/>
  <c r="CL30" i="21"/>
  <c r="AL30" i="21"/>
  <c r="CA29" i="21"/>
  <c r="CH30" i="21"/>
  <c r="BI30" i="21"/>
  <c r="R30" i="21"/>
  <c r="F30" i="21"/>
  <c r="Y30" i="21"/>
  <c r="W30" i="21"/>
  <c r="S30" i="21"/>
  <c r="AQ30" i="21"/>
  <c r="AO30" i="21"/>
  <c r="L30" i="21"/>
  <c r="AX30" i="21"/>
  <c r="BN30" i="21"/>
  <c r="AK30" i="21"/>
  <c r="AC30" i="21"/>
  <c r="U30" i="21"/>
  <c r="CN30" i="21"/>
  <c r="CC30" i="21"/>
  <c r="AY30" i="21"/>
  <c r="BO30" i="21"/>
  <c r="BM30" i="21"/>
  <c r="AF30" i="21"/>
  <c r="X30" i="21"/>
  <c r="AZ30" i="21"/>
  <c r="BJ30" i="21"/>
  <c r="AD30" i="21"/>
  <c r="E30" i="21"/>
  <c r="V30" i="21"/>
  <c r="Q30" i="21"/>
  <c r="AP30" i="21"/>
  <c r="BT30" i="21"/>
  <c r="CM30" i="21"/>
  <c r="BG30" i="21"/>
  <c r="G30" i="21"/>
  <c r="AM30" i="21"/>
  <c r="AU29" i="21"/>
  <c r="Z30" i="21"/>
  <c r="T30" i="21"/>
  <c r="CF30" i="21"/>
  <c r="BH30" i="21"/>
  <c r="K30" i="21"/>
  <c r="AW30" i="21"/>
  <c r="G29" i="21"/>
  <c r="AU30" i="21"/>
  <c r="AK29" i="21"/>
  <c r="CJ27" i="21"/>
  <c r="CJ28" i="21" s="1"/>
  <c r="CG30" i="21"/>
  <c r="BY30" i="21"/>
  <c r="BE30" i="21"/>
  <c r="AB30" i="21"/>
  <c r="CD30" i="21"/>
  <c r="BX30" i="21"/>
  <c r="BB30" i="21"/>
  <c r="BW30" i="21"/>
  <c r="BS30" i="21"/>
  <c r="J30" i="21"/>
  <c r="CB30" i="21"/>
  <c r="CA30" i="21"/>
  <c r="CE30" i="21"/>
  <c r="AJ30" i="21"/>
  <c r="P30" i="21"/>
  <c r="N30" i="21"/>
  <c r="AI30" i="21"/>
  <c r="I30" i="21"/>
  <c r="H30" i="21"/>
  <c r="CK30" i="21"/>
  <c r="AM29" i="21"/>
  <c r="D28" i="31"/>
  <c r="C1" i="8"/>
  <c r="D1" i="29" s="1"/>
  <c r="D11" i="29" s="1"/>
  <c r="C6" i="26"/>
  <c r="C7" i="26"/>
  <c r="D2" i="29"/>
  <c r="D2" i="26"/>
  <c r="N9" i="26"/>
  <c r="N8" i="26"/>
  <c r="D1" i="26"/>
  <c r="C1" i="26"/>
  <c r="AA1" i="26"/>
  <c r="C4" i="8"/>
  <c r="D4" i="29" s="1"/>
  <c r="C1" i="3"/>
  <c r="F29" i="1"/>
  <c r="D20" i="2"/>
  <c r="D28" i="2"/>
  <c r="D32" i="2"/>
  <c r="C6" i="33" s="1"/>
  <c r="D13" i="2"/>
  <c r="D17" i="2"/>
  <c r="D21" i="2"/>
  <c r="D25" i="2"/>
  <c r="D29" i="2"/>
  <c r="D33" i="2"/>
  <c r="C4" i="33" l="1"/>
  <c r="C5" i="33"/>
  <c r="F29" i="2"/>
  <c r="AM29" i="2"/>
  <c r="D38" i="2"/>
  <c r="D10" i="29"/>
  <c r="D9" i="29"/>
  <c r="D19" i="29"/>
  <c r="E19" i="29"/>
  <c r="AA4" i="26"/>
  <c r="CJ29" i="21"/>
  <c r="C3" i="26"/>
  <c r="C8" i="26" s="1"/>
  <c r="D37" i="2"/>
  <c r="D36" i="2"/>
  <c r="D7" i="26"/>
  <c r="D6" i="26"/>
  <c r="D3" i="29"/>
  <c r="C8" i="8"/>
  <c r="C11" i="8"/>
  <c r="AA3" i="26"/>
  <c r="D4" i="26"/>
  <c r="D9" i="26" s="1"/>
  <c r="C6" i="8"/>
  <c r="C12" i="8" s="1"/>
  <c r="C5" i="3"/>
  <c r="C4" i="26"/>
  <c r="C9" i="26" s="1"/>
  <c r="C5" i="8"/>
  <c r="C9" i="8" s="1"/>
  <c r="D3" i="26"/>
  <c r="D8" i="26" s="1"/>
  <c r="C7" i="8"/>
  <c r="D30" i="31"/>
  <c r="C3" i="3"/>
  <c r="C4" i="3"/>
  <c r="F30" i="1"/>
  <c r="C7" i="33" l="1"/>
  <c r="F30" i="2"/>
  <c r="AM30" i="2"/>
  <c r="AA8" i="26"/>
  <c r="F14" i="26" s="1"/>
  <c r="J23" i="26" s="1"/>
  <c r="AA6" i="26"/>
  <c r="M22" i="26" s="1"/>
  <c r="AA9" i="26"/>
  <c r="AA7" i="26"/>
  <c r="E13" i="26" s="1" a="1"/>
  <c r="E13" i="26" s="1"/>
  <c r="F22" i="26" s="1"/>
  <c r="CJ30" i="21"/>
  <c r="D39" i="2"/>
  <c r="D32" i="31" s="1"/>
  <c r="AG29" i="21"/>
  <c r="D31" i="31"/>
  <c r="AG30" i="21"/>
  <c r="E16" i="29" a="1"/>
  <c r="E16" i="29" s="1"/>
  <c r="E15" i="29"/>
  <c r="G14" i="26"/>
  <c r="C23" i="26" s="1"/>
  <c r="D29" i="29"/>
  <c r="J29" i="29"/>
  <c r="G29" i="29"/>
  <c r="M29" i="29"/>
  <c r="C10" i="8"/>
  <c r="D5" i="29"/>
  <c r="D7" i="29" s="1"/>
  <c r="C13" i="8"/>
  <c r="D6" i="29"/>
  <c r="D8" i="29" s="1"/>
  <c r="C6" i="3"/>
  <c r="F31" i="1"/>
  <c r="F31" i="2" l="1"/>
  <c r="AM31" i="2"/>
  <c r="E12" i="26"/>
  <c r="F21" i="26" s="1"/>
  <c r="E14" i="26"/>
  <c r="F23" i="26" s="1"/>
  <c r="M21" i="26"/>
  <c r="F12" i="26"/>
  <c r="J21" i="26" s="1"/>
  <c r="F13" i="26" a="1"/>
  <c r="F13" i="26" s="1"/>
  <c r="J22" i="26" s="1"/>
  <c r="D14" i="26"/>
  <c r="M23" i="26" s="1"/>
  <c r="D15" i="29"/>
  <c r="G27" i="29" s="1"/>
  <c r="D16" i="29" a="1"/>
  <c r="D16" i="29" s="1"/>
  <c r="G28" i="29" s="1"/>
  <c r="D27" i="29"/>
  <c r="D28" i="29"/>
  <c r="F32" i="1"/>
  <c r="D32" i="29" l="1"/>
  <c r="D35" i="29" s="1"/>
  <c r="F32" i="2"/>
  <c r="AM32" i="2"/>
  <c r="J26" i="26"/>
  <c r="D34" i="29"/>
  <c r="F33" i="1"/>
  <c r="D37" i="29" l="1"/>
  <c r="F33" i="2"/>
  <c r="AM33" i="2"/>
  <c r="F34" i="1"/>
  <c r="F34" i="2" l="1"/>
  <c r="AM34" i="2"/>
  <c r="AL4" i="26"/>
  <c r="AL9" i="26" s="1"/>
  <c r="AM36" i="2"/>
  <c r="AL6" i="8"/>
  <c r="AL4" i="3"/>
  <c r="AL6" i="3" s="1"/>
  <c r="F36" i="2"/>
  <c r="F39" i="2" s="1"/>
  <c r="E6" i="8"/>
  <c r="E4" i="3"/>
  <c r="E6" i="3" s="1"/>
  <c r="AJ4" i="26"/>
  <c r="AJ9" i="26" s="1"/>
  <c r="E4" i="26"/>
  <c r="E9" i="26" s="1"/>
  <c r="AL5" i="33" l="1"/>
  <c r="AL7" i="33" s="1"/>
  <c r="AL6" i="33"/>
  <c r="E5" i="33"/>
  <c r="E7" i="33" s="1"/>
  <c r="E6" i="33"/>
  <c r="F38" i="2"/>
  <c r="E5" i="3"/>
  <c r="AT29" i="21"/>
  <c r="E7" i="8"/>
  <c r="AI29" i="21"/>
  <c r="AM39" i="2"/>
  <c r="AM38" i="2"/>
  <c r="AL5" i="3"/>
  <c r="AL7" i="8"/>
  <c r="E12" i="8"/>
  <c r="E13" i="8"/>
  <c r="AL13" i="8"/>
  <c r="AL12" i="8"/>
  <c r="G13" i="26" a="1"/>
  <c r="G13" i="26" s="1"/>
  <c r="C22" i="26" s="1"/>
  <c r="G12" i="26"/>
  <c r="C21" i="26" s="1"/>
  <c r="D18" i="29" l="1" a="1"/>
  <c r="D18" i="29" s="1"/>
  <c r="M28" i="29" s="1"/>
  <c r="D17" i="29" l="1"/>
  <c r="M27" i="29" s="1"/>
  <c r="E17" i="29"/>
  <c r="J27" i="29" s="1"/>
  <c r="E18" i="29" a="1"/>
  <c r="E18" i="29" s="1"/>
  <c r="J28" i="29" s="1"/>
  <c r="J32" i="29" s="1"/>
  <c r="J35" i="29" s="1"/>
  <c r="J34" i="29" l="1"/>
  <c r="J37" i="29" s="1"/>
  <c r="C26" i="26"/>
  <c r="C29" i="26" s="1"/>
  <c r="C28" i="26"/>
  <c r="J28" i="26"/>
  <c r="J29" i="26"/>
  <c r="J31" i="26" l="1"/>
  <c r="C31" i="26"/>
</calcChain>
</file>

<file path=xl/comments1.xml><?xml version="1.0" encoding="utf-8"?>
<comments xmlns="http://schemas.openxmlformats.org/spreadsheetml/2006/main">
  <authors>
    <author>Chris</author>
  </authors>
  <commentList>
    <comment ref="F18" authorId="0">
      <text>
        <r>
          <rPr>
            <b/>
            <sz val="9"/>
            <color indexed="81"/>
            <rFont val="Tahoma"/>
            <family val="2"/>
          </rPr>
          <t>Chris:</t>
        </r>
        <r>
          <rPr>
            <sz val="9"/>
            <color indexed="81"/>
            <rFont val="Tahoma"/>
            <family val="2"/>
          </rPr>
          <t xml:space="preserve">
Orginial was "NULL", reported in DCS as 1000 sqft</t>
        </r>
      </text>
    </comment>
    <comment ref="A37" authorId="0">
      <text>
        <r>
          <rPr>
            <sz val="9"/>
            <color indexed="81"/>
            <rFont val="Tahoma"/>
            <family val="2"/>
          </rPr>
          <t>This establishment submitted three forms: 036-13, 059-13, 060-13</t>
        </r>
      </text>
    </comment>
    <comment ref="F41" authorId="0">
      <text>
        <r>
          <rPr>
            <b/>
            <sz val="9"/>
            <color indexed="81"/>
            <rFont val="Tahoma"/>
            <family val="2"/>
          </rPr>
          <t>Chris:</t>
        </r>
        <r>
          <rPr>
            <sz val="9"/>
            <color indexed="81"/>
            <rFont val="Tahoma"/>
            <family val="2"/>
          </rPr>
          <t xml:space="preserve">
From "NULL" to DCS reported number
</t>
        </r>
      </text>
    </comment>
    <comment ref="F42" authorId="0">
      <text>
        <r>
          <rPr>
            <b/>
            <sz val="9"/>
            <color indexed="81"/>
            <rFont val="Tahoma"/>
            <family val="2"/>
          </rPr>
          <t>Chris:</t>
        </r>
        <r>
          <rPr>
            <sz val="9"/>
            <color indexed="81"/>
            <rFont val="Tahoma"/>
            <family val="2"/>
          </rPr>
          <t xml:space="preserve">
Changed from "NULL" to DCS reported number</t>
        </r>
      </text>
    </comment>
    <comment ref="F45" authorId="0">
      <text>
        <r>
          <rPr>
            <b/>
            <sz val="9"/>
            <color indexed="81"/>
            <rFont val="Tahoma"/>
            <family val="2"/>
          </rPr>
          <t>From "NULL" to DCS reported number</t>
        </r>
      </text>
    </comment>
    <comment ref="F50" authorId="0">
      <text>
        <r>
          <rPr>
            <b/>
            <sz val="9"/>
            <color indexed="81"/>
            <rFont val="Tahoma"/>
            <family val="2"/>
          </rPr>
          <t>Chris:</t>
        </r>
        <r>
          <rPr>
            <sz val="9"/>
            <color indexed="81"/>
            <rFont val="Tahoma"/>
            <family val="2"/>
          </rPr>
          <t xml:space="preserve">
From "NULL" to DCS reported number</t>
        </r>
      </text>
    </comment>
    <comment ref="A55" authorId="0">
      <text>
        <r>
          <rPr>
            <sz val="9"/>
            <color indexed="81"/>
            <rFont val="Tahoma"/>
            <family val="2"/>
          </rPr>
          <t>This establishment submitted three forms: 054-13, 057-13, 058-13</t>
        </r>
      </text>
    </comment>
    <comment ref="A58" authorId="0">
      <text>
        <r>
          <rPr>
            <sz val="9"/>
            <color indexed="81"/>
            <rFont val="Tahoma"/>
            <family val="2"/>
          </rPr>
          <t>This establishment submitted three forms: 054-13, 057-13, 058-13</t>
        </r>
      </text>
    </comment>
    <comment ref="A59" authorId="0">
      <text>
        <r>
          <rPr>
            <sz val="9"/>
            <color indexed="81"/>
            <rFont val="Tahoma"/>
            <family val="2"/>
          </rPr>
          <t>This establishment submitted three forms: 054-13, 057-13, 058-13</t>
        </r>
      </text>
    </comment>
    <comment ref="A60" authorId="0">
      <text>
        <r>
          <rPr>
            <sz val="9"/>
            <color indexed="81"/>
            <rFont val="Tahoma"/>
            <family val="2"/>
          </rPr>
          <t>This establishment submitted three forms: 036-13, 059-13, 060-13</t>
        </r>
      </text>
    </comment>
    <comment ref="A61" authorId="0">
      <text>
        <r>
          <rPr>
            <sz val="9"/>
            <color indexed="81"/>
            <rFont val="Tahoma"/>
            <family val="2"/>
          </rPr>
          <t>This establishment submitted three forms: 036-13, 059-13, 060-13</t>
        </r>
      </text>
    </comment>
    <comment ref="F66" authorId="0">
      <text>
        <r>
          <rPr>
            <b/>
            <sz val="9"/>
            <color indexed="81"/>
            <rFont val="Tahoma"/>
            <family val="2"/>
          </rPr>
          <t>Chris:</t>
        </r>
        <r>
          <rPr>
            <sz val="9"/>
            <color indexed="81"/>
            <rFont val="Tahoma"/>
            <family val="2"/>
          </rPr>
          <t xml:space="preserve">
From "NULL" to DCS reported number</t>
        </r>
      </text>
    </comment>
    <comment ref="F77" authorId="0">
      <text>
        <r>
          <rPr>
            <b/>
            <sz val="9"/>
            <color indexed="81"/>
            <rFont val="Tahoma"/>
            <family val="2"/>
          </rPr>
          <t>Chris:</t>
        </r>
        <r>
          <rPr>
            <sz val="9"/>
            <color indexed="81"/>
            <rFont val="Tahoma"/>
            <family val="2"/>
          </rPr>
          <t xml:space="preserve">
From "NULL" to DCS reported number</t>
        </r>
      </text>
    </comment>
    <comment ref="A79" authorId="0">
      <text>
        <r>
          <rPr>
            <b/>
            <sz val="9"/>
            <color indexed="81"/>
            <rFont val="Tahoma"/>
            <family val="2"/>
          </rPr>
          <t>Chris:</t>
        </r>
        <r>
          <rPr>
            <sz val="9"/>
            <color indexed="81"/>
            <rFont val="Tahoma"/>
            <family val="2"/>
          </rPr>
          <t xml:space="preserve">
084-13 as well</t>
        </r>
      </text>
    </comment>
    <comment ref="F81" authorId="0">
      <text>
        <r>
          <rPr>
            <b/>
            <sz val="9"/>
            <color indexed="81"/>
            <rFont val="Tahoma"/>
            <family val="2"/>
          </rPr>
          <t>Chris:</t>
        </r>
        <r>
          <rPr>
            <sz val="9"/>
            <color indexed="81"/>
            <rFont val="Tahoma"/>
            <family val="2"/>
          </rPr>
          <t xml:space="preserve">
From "NULL" to DCS reported number</t>
        </r>
      </text>
    </comment>
    <comment ref="F83" authorId="0">
      <text>
        <r>
          <rPr>
            <b/>
            <sz val="9"/>
            <color indexed="81"/>
            <rFont val="Tahoma"/>
            <family val="2"/>
          </rPr>
          <t>Chris:</t>
        </r>
        <r>
          <rPr>
            <sz val="9"/>
            <color indexed="81"/>
            <rFont val="Tahoma"/>
            <family val="2"/>
          </rPr>
          <t xml:space="preserve">
From "NULL" to DCS reported number</t>
        </r>
      </text>
    </comment>
    <comment ref="F87" authorId="0">
      <text>
        <r>
          <rPr>
            <b/>
            <sz val="9"/>
            <color indexed="81"/>
            <rFont val="Tahoma"/>
            <family val="2"/>
          </rPr>
          <t>Chris:</t>
        </r>
        <r>
          <rPr>
            <sz val="9"/>
            <color indexed="81"/>
            <rFont val="Tahoma"/>
            <family val="2"/>
          </rPr>
          <t xml:space="preserve">
From "NULL" to DCS reported number</t>
        </r>
      </text>
    </comment>
    <comment ref="F88" authorId="0">
      <text>
        <r>
          <rPr>
            <b/>
            <sz val="9"/>
            <color indexed="81"/>
            <rFont val="Tahoma"/>
            <family val="2"/>
          </rPr>
          <t>Chris:</t>
        </r>
        <r>
          <rPr>
            <sz val="9"/>
            <color indexed="81"/>
            <rFont val="Tahoma"/>
            <family val="2"/>
          </rPr>
          <t xml:space="preserve">
From "NULL" to DCS reported number</t>
        </r>
      </text>
    </comment>
    <comment ref="A92" authorId="0">
      <text>
        <r>
          <rPr>
            <b/>
            <sz val="9"/>
            <color indexed="81"/>
            <rFont val="Tahoma"/>
            <family val="2"/>
          </rPr>
          <t>Chris:</t>
        </r>
        <r>
          <rPr>
            <sz val="9"/>
            <color indexed="81"/>
            <rFont val="Tahoma"/>
            <family val="2"/>
          </rPr>
          <t xml:space="preserve">
Possibly incorrect, establishment# 10787 on form</t>
        </r>
      </text>
    </comment>
    <comment ref="F93" authorId="0">
      <text>
        <r>
          <rPr>
            <b/>
            <sz val="9"/>
            <color indexed="81"/>
            <rFont val="Tahoma"/>
            <family val="2"/>
          </rPr>
          <t>Chris:</t>
        </r>
        <r>
          <rPr>
            <sz val="9"/>
            <color indexed="81"/>
            <rFont val="Tahoma"/>
            <family val="2"/>
          </rPr>
          <t xml:space="preserve">
From "NULL" to DCS reported number</t>
        </r>
      </text>
    </comment>
  </commentList>
</comments>
</file>

<file path=xl/comments2.xml><?xml version="1.0" encoding="utf-8"?>
<comments xmlns="http://schemas.openxmlformats.org/spreadsheetml/2006/main">
  <authors>
    <author>Admin</author>
    <author>Amanda Kryway</author>
    <author>kxt210</author>
    <author>Chris</author>
    <author/>
  </authors>
  <commentList>
    <comment ref="B1" authorId="0">
      <text>
        <r>
          <rPr>
            <b/>
            <sz val="9"/>
            <color indexed="81"/>
            <rFont val="Tahoma"/>
            <family val="2"/>
          </rPr>
          <t>Admin:</t>
        </r>
        <r>
          <rPr>
            <sz val="9"/>
            <color indexed="81"/>
            <rFont val="Tahoma"/>
            <family val="2"/>
          </rPr>
          <t xml:space="preserve">
Times are in minutes</t>
        </r>
      </text>
    </comment>
    <comment ref="Q1" authorId="1">
      <text>
        <r>
          <rPr>
            <sz val="9"/>
            <color indexed="81"/>
            <rFont val="Tahoma"/>
            <family val="2"/>
          </rPr>
          <t xml:space="preserve">Statistical outlier, excluded from analysis. </t>
        </r>
      </text>
    </comment>
    <comment ref="BE1" authorId="1">
      <text>
        <r>
          <rPr>
            <sz val="9"/>
            <color indexed="81"/>
            <rFont val="Tahoma"/>
            <family val="2"/>
          </rPr>
          <t>Statistical outlier.  Excluded from analysis.</t>
        </r>
      </text>
    </comment>
    <comment ref="BO1" authorId="1">
      <text>
        <r>
          <rPr>
            <sz val="9"/>
            <color indexed="81"/>
            <rFont val="Tahoma"/>
            <family val="2"/>
          </rPr>
          <t xml:space="preserve">Duration of direct task is a statistical outlier.  Data appears to be bad.  Excluded from analysis. </t>
        </r>
      </text>
    </comment>
    <comment ref="Z2" authorId="1">
      <text>
        <r>
          <rPr>
            <sz val="9"/>
            <color indexed="81"/>
            <rFont val="Tahoma"/>
            <family val="2"/>
          </rPr>
          <t>Exclude - convoluted data</t>
        </r>
      </text>
    </comment>
    <comment ref="AS2" authorId="1">
      <text>
        <r>
          <rPr>
            <sz val="9"/>
            <color indexed="81"/>
            <rFont val="Tahoma"/>
            <family val="2"/>
          </rPr>
          <t xml:space="preserve">Excluded from analysis because no actual sample taken. Estimate provided by plant. </t>
        </r>
      </text>
    </comment>
    <comment ref="AZ2" authorId="1">
      <text>
        <r>
          <rPr>
            <sz val="9"/>
            <color indexed="81"/>
            <rFont val="Tahoma"/>
            <family val="2"/>
          </rPr>
          <t>Exclude due to insufficient data</t>
        </r>
      </text>
    </comment>
    <comment ref="CR2" authorId="2">
      <text>
        <r>
          <rPr>
            <sz val="9"/>
            <color indexed="81"/>
            <rFont val="Tahoma"/>
            <family val="2"/>
          </rPr>
          <t>Exclude insufficient data</t>
        </r>
      </text>
    </comment>
    <comment ref="CS2" authorId="2">
      <text>
        <r>
          <rPr>
            <sz val="9"/>
            <color indexed="81"/>
            <rFont val="Tahoma"/>
            <family val="2"/>
          </rPr>
          <t>Exclude insufficient data</t>
        </r>
      </text>
    </comment>
    <comment ref="CT2" authorId="2">
      <text>
        <r>
          <rPr>
            <sz val="9"/>
            <color indexed="81"/>
            <rFont val="Tahoma"/>
            <family val="2"/>
          </rPr>
          <t>Exclude insufficient data</t>
        </r>
      </text>
    </comment>
    <comment ref="CU2" authorId="2">
      <text>
        <r>
          <rPr>
            <sz val="9"/>
            <color indexed="81"/>
            <rFont val="Tahoma"/>
            <family val="2"/>
          </rPr>
          <t>Exclude insufficient data</t>
        </r>
      </text>
    </comment>
    <comment ref="CV2" authorId="2">
      <text>
        <r>
          <rPr>
            <sz val="9"/>
            <color indexed="81"/>
            <rFont val="Tahoma"/>
            <family val="2"/>
          </rPr>
          <t>Exclude insufficient data</t>
        </r>
      </text>
    </comment>
    <comment ref="CW2" authorId="2">
      <text>
        <r>
          <rPr>
            <sz val="9"/>
            <color indexed="81"/>
            <rFont val="Tahoma"/>
            <family val="2"/>
          </rPr>
          <t>Exclude insufficient data</t>
        </r>
      </text>
    </comment>
    <comment ref="CX2" authorId="2">
      <text>
        <r>
          <rPr>
            <sz val="9"/>
            <color indexed="81"/>
            <rFont val="Tahoma"/>
            <family val="2"/>
          </rPr>
          <t>Exclude insufficient data</t>
        </r>
      </text>
    </comment>
    <comment ref="CY2" authorId="2">
      <text>
        <r>
          <rPr>
            <sz val="9"/>
            <color indexed="81"/>
            <rFont val="Tahoma"/>
            <family val="2"/>
          </rPr>
          <t>Exclude insufficient data</t>
        </r>
      </text>
    </comment>
    <comment ref="CZ2" authorId="2">
      <text>
        <r>
          <rPr>
            <sz val="9"/>
            <color indexed="81"/>
            <rFont val="Tahoma"/>
            <family val="2"/>
          </rPr>
          <t>Exclude insufficient data</t>
        </r>
      </text>
    </comment>
    <comment ref="DA2" authorId="2">
      <text>
        <r>
          <rPr>
            <sz val="9"/>
            <color indexed="81"/>
            <rFont val="Tahoma"/>
            <family val="2"/>
          </rPr>
          <t>Exclude insufficient data</t>
        </r>
      </text>
    </comment>
    <comment ref="DB2" authorId="2">
      <text>
        <r>
          <rPr>
            <sz val="9"/>
            <color indexed="81"/>
            <rFont val="Tahoma"/>
            <family val="2"/>
          </rPr>
          <t>Exclude insufficient data</t>
        </r>
      </text>
    </comment>
    <comment ref="DC2" authorId="2">
      <text>
        <r>
          <rPr>
            <sz val="9"/>
            <color indexed="81"/>
            <rFont val="Tahoma"/>
            <family val="2"/>
          </rPr>
          <t>Exclude insufficient data</t>
        </r>
      </text>
    </comment>
    <comment ref="DD2" authorId="2">
      <text>
        <r>
          <rPr>
            <sz val="9"/>
            <color indexed="81"/>
            <rFont val="Tahoma"/>
            <family val="2"/>
          </rPr>
          <t>Exclude insufficient data</t>
        </r>
      </text>
    </comment>
    <comment ref="CO6" authorId="2">
      <text>
        <r>
          <rPr>
            <sz val="9"/>
            <color indexed="81"/>
            <rFont val="Tahoma"/>
            <family val="2"/>
          </rPr>
          <t xml:space="preserve">Assumption: Both methods were circled. N60 was the assumed method based on total time taken in section 3.
</t>
        </r>
      </text>
    </comment>
    <comment ref="AN7" authorId="3">
      <text>
        <r>
          <rPr>
            <b/>
            <sz val="9"/>
            <color indexed="81"/>
            <rFont val="Tahoma"/>
            <family val="2"/>
          </rPr>
          <t>Chris:</t>
        </r>
        <r>
          <rPr>
            <sz val="9"/>
            <color indexed="81"/>
            <rFont val="Tahoma"/>
            <family val="2"/>
          </rPr>
          <t xml:space="preserve">
Should be 9776?</t>
        </r>
      </text>
    </comment>
    <comment ref="CN7" authorId="3">
      <text>
        <r>
          <rPr>
            <b/>
            <sz val="9"/>
            <color indexed="81"/>
            <rFont val="Tahoma"/>
            <family val="2"/>
          </rPr>
          <t>Chris:</t>
        </r>
        <r>
          <rPr>
            <sz val="9"/>
            <color indexed="81"/>
            <rFont val="Tahoma"/>
            <family val="2"/>
          </rPr>
          <t xml:space="preserve">
Meant "10786"???</t>
        </r>
      </text>
    </comment>
    <comment ref="BZ8" authorId="2">
      <text>
        <r>
          <rPr>
            <b/>
            <sz val="9"/>
            <color indexed="81"/>
            <rFont val="Tahoma"/>
            <family val="2"/>
          </rPr>
          <t>Karen:</t>
        </r>
        <r>
          <rPr>
            <sz val="9"/>
            <color indexed="81"/>
            <rFont val="Tahoma"/>
            <family val="2"/>
          </rPr>
          <t xml:space="preserve">
"We were unable to connect to internet at establishment so after repeated failures the CSI was able to use an EVDO card outside."</t>
        </r>
      </text>
    </comment>
    <comment ref="D9" authorId="1">
      <text>
        <r>
          <rPr>
            <sz val="9"/>
            <color indexed="81"/>
            <rFont val="Tahoma"/>
            <family val="2"/>
          </rPr>
          <t>No Data entered on form</t>
        </r>
      </text>
    </comment>
    <comment ref="BZ10" authorId="2">
      <text>
        <r>
          <rPr>
            <b/>
            <sz val="9"/>
            <color indexed="81"/>
            <rFont val="Tahoma"/>
            <family val="2"/>
          </rPr>
          <t>Karen:</t>
        </r>
        <r>
          <rPr>
            <sz val="9"/>
            <color indexed="81"/>
            <rFont val="Tahoma"/>
            <family val="2"/>
          </rPr>
          <t xml:space="preserve">
Stimulation time for 2b-2d.</t>
        </r>
      </text>
    </comment>
    <comment ref="CL10" authorId="2">
      <text>
        <r>
          <rPr>
            <sz val="9"/>
            <color indexed="81"/>
            <rFont val="Tahoma"/>
            <family val="2"/>
          </rPr>
          <t xml:space="preserve">Section 2 used EVDO. </t>
        </r>
        <r>
          <rPr>
            <b/>
            <sz val="9"/>
            <color indexed="81"/>
            <rFont val="Tahoma"/>
            <family val="2"/>
          </rPr>
          <t xml:space="preserve">
</t>
        </r>
        <r>
          <rPr>
            <sz val="9"/>
            <color indexed="81"/>
            <rFont val="Tahoma"/>
            <family val="2"/>
          </rPr>
          <t xml:space="preserve">
</t>
        </r>
      </text>
    </comment>
    <comment ref="B12" authorId="1">
      <text>
        <r>
          <rPr>
            <sz val="9"/>
            <color indexed="81"/>
            <rFont val="Tahoma"/>
            <family val="2"/>
          </rPr>
          <t>Original entry: 01:33:18</t>
        </r>
      </text>
    </comment>
    <comment ref="O12" authorId="4">
      <text>
        <r>
          <rPr>
            <sz val="10"/>
            <color rgb="FF000000"/>
            <rFont val="Arial"/>
            <family val="2"/>
          </rPr>
          <t>"There were problems with lab availability, PHIS would not allow sample schedule due to availability."</t>
        </r>
      </text>
    </comment>
    <comment ref="L13" authorId="4">
      <text>
        <r>
          <rPr>
            <sz val="10"/>
            <color rgb="FF000000"/>
            <rFont val="Arial"/>
            <family val="2"/>
          </rPr>
          <t xml:space="preserve">Previously scheduled due to lab availability problems. </t>
        </r>
      </text>
    </comment>
    <comment ref="Q14" authorId="4">
      <text>
        <r>
          <rPr>
            <sz val="10"/>
            <color rgb="FF000000"/>
            <rFont val="Arial"/>
            <family val="2"/>
          </rPr>
          <t xml:space="preserve">Time to retrieve Lot# was not included in this measurement. Collected Lot # just prior to sample collection and was included with step 3e. </t>
        </r>
      </text>
    </comment>
    <comment ref="H17" authorId="1">
      <text>
        <r>
          <rPr>
            <b/>
            <sz val="9"/>
            <color indexed="81"/>
            <rFont val="Tahoma"/>
            <family val="2"/>
          </rPr>
          <t>Amanda Kryway:</t>
        </r>
        <r>
          <rPr>
            <sz val="9"/>
            <color indexed="81"/>
            <rFont val="Tahoma"/>
            <family val="2"/>
          </rPr>
          <t xml:space="preserve">
Time entered in form was 00.34.  Interpreting this to be 01.34, as preceding step was 00.51 and subsequent step was 01.45</t>
        </r>
      </text>
    </comment>
    <comment ref="Q19" authorId="4">
      <text>
        <r>
          <rPr>
            <sz val="10"/>
            <color rgb="FF000000"/>
            <rFont val="Arial"/>
            <family val="2"/>
          </rPr>
          <t xml:space="preserve">Collected Lot # just prior to sample collection and was included with this step 3e vice step 2f. </t>
        </r>
      </text>
    </comment>
    <comment ref="D21" authorId="1">
      <text>
        <r>
          <rPr>
            <sz val="9"/>
            <color indexed="81"/>
            <rFont val="Tahoma"/>
            <family val="2"/>
          </rPr>
          <t>It appears inspector did not time this step.  29 08 is entered, but it is believed this is a record of the temperature, not a time indication</t>
        </r>
      </text>
    </comment>
    <comment ref="CA21" authorId="2">
      <text>
        <r>
          <rPr>
            <b/>
            <sz val="9"/>
            <color indexed="81"/>
            <rFont val="Tahoma"/>
            <family val="2"/>
          </rPr>
          <t xml:space="preserve">Karen: Misunderstood, timer thought only to record temperature. </t>
        </r>
      </text>
    </comment>
    <comment ref="CD21" authorId="2">
      <text>
        <r>
          <rPr>
            <b/>
            <sz val="9"/>
            <color indexed="81"/>
            <rFont val="Tahoma"/>
            <family val="2"/>
          </rPr>
          <t xml:space="preserve">Karen: Misunderstood, timer thought only to record temperature. </t>
        </r>
      </text>
    </comment>
    <comment ref="CG21" authorId="2">
      <text>
        <r>
          <rPr>
            <b/>
            <sz val="9"/>
            <color indexed="81"/>
            <rFont val="Tahoma"/>
            <family val="2"/>
          </rPr>
          <t xml:space="preserve">Karen: Misunderstood, timer thought only to record temperature. </t>
        </r>
      </text>
    </comment>
    <comment ref="Q22" authorId="4">
      <text>
        <r>
          <rPr>
            <sz val="10"/>
            <color rgb="FF000000"/>
            <rFont val="Arial"/>
            <family val="2"/>
          </rPr>
          <t>These two steps were done in reverse due to "station to clean equipment is enroute to USDA office."</t>
        </r>
      </text>
    </comment>
    <comment ref="CC22" authorId="2">
      <text>
        <r>
          <rPr>
            <b/>
            <sz val="9"/>
            <color indexed="81"/>
            <rFont val="Tahoma"/>
            <family val="2"/>
          </rPr>
          <t xml:space="preserve">Karen:
Please see DCS, rearranged the times for end of section 3 and section 4. </t>
        </r>
        <r>
          <rPr>
            <sz val="9"/>
            <color indexed="81"/>
            <rFont val="Tahoma"/>
            <family val="2"/>
          </rPr>
          <t xml:space="preserve">
</t>
        </r>
      </text>
    </comment>
    <comment ref="CE22" authorId="2">
      <text>
        <r>
          <rPr>
            <b/>
            <sz val="9"/>
            <color indexed="81"/>
            <rFont val="Tahoma"/>
            <family val="2"/>
          </rPr>
          <t>Karen:
Rearranged this time.</t>
        </r>
        <r>
          <rPr>
            <sz val="9"/>
            <color indexed="81"/>
            <rFont val="Tahoma"/>
            <family val="2"/>
          </rPr>
          <t xml:space="preserve">
</t>
        </r>
      </text>
    </comment>
    <comment ref="CJ22" authorId="2">
      <text>
        <r>
          <rPr>
            <b/>
            <sz val="9"/>
            <color indexed="81"/>
            <rFont val="Tahoma"/>
            <family val="2"/>
          </rPr>
          <t xml:space="preserve">Karen:
Please see DCS, rearranged the times for end of section 3 and section 4. </t>
        </r>
        <r>
          <rPr>
            <sz val="9"/>
            <color indexed="81"/>
            <rFont val="Tahoma"/>
            <family val="2"/>
          </rPr>
          <t xml:space="preserve">
</t>
        </r>
      </text>
    </comment>
    <comment ref="M23" authorId="4">
      <text>
        <r>
          <rPr>
            <sz val="10"/>
            <color rgb="FF000000"/>
            <rFont val="Arial"/>
            <family val="2"/>
          </rPr>
          <t>Made an assumption here that timer actually meant 30 mins 19 sec vice 30.19 secs.</t>
        </r>
      </text>
    </comment>
    <comment ref="B24" authorId="1">
      <text>
        <r>
          <rPr>
            <sz val="9"/>
            <color indexed="81"/>
            <rFont val="Tahoma"/>
            <family val="2"/>
          </rPr>
          <t>Original entry: 1:52:08
This format was followed for section 4 on this form.  Interpreted as mm:ss.ss</t>
        </r>
      </text>
    </comment>
    <comment ref="D24" authorId="1">
      <text>
        <r>
          <rPr>
            <sz val="9"/>
            <color indexed="81"/>
            <rFont val="Tahoma"/>
            <family val="2"/>
          </rPr>
          <t>Timer appears to have recorded duration for these steps instead of stopwatch time.  Have translated those durations into times for this analysis</t>
        </r>
      </text>
    </comment>
    <comment ref="CA24" authorId="2">
      <text>
        <r>
          <rPr>
            <b/>
            <sz val="9"/>
            <color indexed="81"/>
            <rFont val="Tahoma"/>
            <family val="2"/>
          </rPr>
          <t>Karen:</t>
        </r>
        <r>
          <rPr>
            <sz val="9"/>
            <color indexed="81"/>
            <rFont val="Tahoma"/>
            <family val="2"/>
          </rPr>
          <t xml:space="preserve">
These steps were completed in section 2. </t>
        </r>
      </text>
    </comment>
    <comment ref="CL24" authorId="2">
      <text>
        <r>
          <rPr>
            <sz val="9"/>
            <color indexed="81"/>
            <rFont val="Tahoma"/>
            <family val="2"/>
          </rPr>
          <t xml:space="preserve">EVDO from 4.b. to 4.f.
</t>
        </r>
      </text>
    </comment>
    <comment ref="O25" authorId="4">
      <text>
        <r>
          <rPr>
            <sz val="10"/>
            <color rgb="FF000000"/>
            <rFont val="Arial"/>
            <family val="2"/>
          </rPr>
          <t xml:space="preserve">"Done at step 2g."
</t>
        </r>
      </text>
    </comment>
    <comment ref="BZ28" authorId="2">
      <text>
        <r>
          <rPr>
            <b/>
            <sz val="9"/>
            <color indexed="81"/>
            <rFont val="Tahoma"/>
            <family val="2"/>
          </rPr>
          <t>Karen:</t>
        </r>
        <r>
          <rPr>
            <sz val="9"/>
            <color indexed="81"/>
            <rFont val="Tahoma"/>
            <family val="2"/>
          </rPr>
          <t xml:space="preserve">
Pg 5 = 12 mins 21 sec or 12.35 mins</t>
        </r>
      </text>
    </comment>
    <comment ref="CL29" authorId="2">
      <text>
        <r>
          <rPr>
            <sz val="9"/>
            <color indexed="81"/>
            <rFont val="Tahoma"/>
            <family val="2"/>
          </rPr>
          <t xml:space="preserve">DSL from 4.g. to 4.i.
Incorporate the comments into this number to factor in "off-line" time.  However a chunk of it is missing, the time it took to switch to DSL and get back on line.  </t>
        </r>
      </text>
    </comment>
    <comment ref="B34" authorId="1">
      <text>
        <r>
          <rPr>
            <sz val="9"/>
            <color indexed="81"/>
            <rFont val="Tahoma"/>
            <family val="2"/>
          </rPr>
          <t>Note on form indicates this step was to call FedEx; implies no travel</t>
        </r>
      </text>
    </comment>
    <comment ref="L35" authorId="4">
      <text>
        <r>
          <rPr>
            <sz val="10"/>
            <color rgb="FF000000"/>
            <rFont val="Arial"/>
            <family val="2"/>
          </rPr>
          <t xml:space="preserve">Comment regarding step 2e. 
</t>
        </r>
      </text>
    </comment>
    <comment ref="M35" authorId="4">
      <text>
        <r>
          <rPr>
            <sz val="10"/>
            <color rgb="FF000000"/>
            <rFont val="Arial"/>
            <family val="2"/>
          </rPr>
          <t>Reported times in min:sec:1/100 sec</t>
        </r>
      </text>
    </comment>
    <comment ref="O35" authorId="4">
      <text>
        <r>
          <rPr>
            <sz val="10"/>
            <color rgb="FF000000"/>
            <rFont val="Arial"/>
            <family val="2"/>
          </rPr>
          <t>"There were problems with lab availability, PHIS would not allow sample schedule due to availability."</t>
        </r>
      </text>
    </comment>
    <comment ref="Q35" authorId="4">
      <text>
        <r>
          <rPr>
            <sz val="10"/>
            <color rgb="FF000000"/>
            <rFont val="Arial"/>
            <family val="2"/>
          </rPr>
          <t xml:space="preserve">It was noted that the Sample Collecter doesn't do this task on a routine basis.  Other significant comments are noted above in the associated steps. </t>
        </r>
      </text>
    </comment>
    <comment ref="CC36" authorId="2">
      <text>
        <r>
          <rPr>
            <b/>
            <sz val="9"/>
            <color indexed="81"/>
            <rFont val="Tahoma"/>
            <family val="2"/>
          </rPr>
          <t xml:space="preserve">Karen:
Sample had to go to airport Fedex site. </t>
        </r>
        <r>
          <rPr>
            <sz val="9"/>
            <color indexed="81"/>
            <rFont val="Tahoma"/>
            <family val="2"/>
          </rPr>
          <t xml:space="preserve">
</t>
        </r>
      </text>
    </comment>
    <comment ref="CE36" authorId="2">
      <text>
        <r>
          <rPr>
            <b/>
            <sz val="9"/>
            <color indexed="81"/>
            <rFont val="Tahoma"/>
            <family val="2"/>
          </rPr>
          <t>Karen:</t>
        </r>
        <r>
          <rPr>
            <sz val="9"/>
            <color indexed="81"/>
            <rFont val="Tahoma"/>
            <family val="2"/>
          </rPr>
          <t xml:space="preserve">
"3h was moved to 4a where it was timed separately."</t>
        </r>
      </text>
    </comment>
    <comment ref="CL36" authorId="2">
      <text>
        <r>
          <rPr>
            <sz val="9"/>
            <color indexed="81"/>
            <rFont val="Tahoma"/>
            <family val="2"/>
          </rPr>
          <t xml:space="preserve">Detailed description on how EVDO kicked off the user three separate times in section 4.  The user finally had to switch to DSL to complete task.  
</t>
        </r>
      </text>
    </comment>
  </commentList>
</comments>
</file>

<file path=xl/comments3.xml><?xml version="1.0" encoding="utf-8"?>
<comments xmlns="http://schemas.openxmlformats.org/spreadsheetml/2006/main">
  <authors>
    <author>Admin</author>
    <author>Chris</author>
    <author>kxt210</author>
    <author>Amanda Kryway</author>
    <author/>
  </authors>
  <commentList>
    <comment ref="D1" authorId="0">
      <text>
        <r>
          <rPr>
            <b/>
            <sz val="9"/>
            <color indexed="81"/>
            <rFont val="Tahoma"/>
            <family val="2"/>
          </rPr>
          <t>Admin:</t>
        </r>
        <r>
          <rPr>
            <sz val="9"/>
            <color indexed="81"/>
            <rFont val="Tahoma"/>
            <family val="2"/>
          </rPr>
          <t xml:space="preserve">
Times are in minutes</t>
        </r>
      </text>
    </comment>
    <comment ref="T6" authorId="1">
      <text>
        <r>
          <rPr>
            <b/>
            <sz val="9"/>
            <color indexed="81"/>
            <rFont val="Tahoma"/>
            <charset val="1"/>
          </rPr>
          <t>Chris:</t>
        </r>
        <r>
          <rPr>
            <sz val="9"/>
            <color indexed="81"/>
            <rFont val="Tahoma"/>
            <charset val="1"/>
          </rPr>
          <t xml:space="preserve">
Not Reported.  Due to Collection Time…Assumed 2lb Grab</t>
        </r>
      </text>
    </comment>
    <comment ref="CK6" authorId="2">
      <text>
        <r>
          <rPr>
            <sz val="9"/>
            <color indexed="81"/>
            <rFont val="Tahoma"/>
            <family val="2"/>
          </rPr>
          <t xml:space="preserve">Assumption: Both methods were circled. N60 was the assumed method based on total time taken in section 3.
</t>
        </r>
      </text>
    </comment>
    <comment ref="AG7" authorId="3">
      <text>
        <r>
          <rPr>
            <b/>
            <sz val="9"/>
            <color indexed="81"/>
            <rFont val="Tahoma"/>
            <family val="2"/>
          </rPr>
          <t>Amanda Kryway:</t>
        </r>
        <r>
          <rPr>
            <sz val="9"/>
            <color indexed="81"/>
            <rFont val="Tahoma"/>
            <family val="2"/>
          </rPr>
          <t xml:space="preserve">
Based on timer, this is establishment M86M, Cargill Meat Solutions Corp. </t>
        </r>
      </text>
    </comment>
    <comment ref="CJ7" authorId="1">
      <text>
        <r>
          <rPr>
            <b/>
            <sz val="9"/>
            <color indexed="81"/>
            <rFont val="Tahoma"/>
            <family val="2"/>
          </rPr>
          <t>Chris:</t>
        </r>
        <r>
          <rPr>
            <sz val="9"/>
            <color indexed="81"/>
            <rFont val="Tahoma"/>
            <family val="2"/>
          </rPr>
          <t xml:space="preserve">
Meant "10786"???</t>
        </r>
      </text>
    </comment>
    <comment ref="BV8" authorId="2">
      <text>
        <r>
          <rPr>
            <b/>
            <sz val="9"/>
            <color indexed="81"/>
            <rFont val="Tahoma"/>
            <family val="2"/>
          </rPr>
          <t>Karen:</t>
        </r>
        <r>
          <rPr>
            <sz val="9"/>
            <color indexed="81"/>
            <rFont val="Tahoma"/>
            <family val="2"/>
          </rPr>
          <t xml:space="preserve">
"We were unable to connect to internet at establishment so after repeated failures the CSI was able to use an EVDO card outside."</t>
        </r>
      </text>
    </comment>
    <comment ref="E9" authorId="3">
      <text>
        <r>
          <rPr>
            <sz val="9"/>
            <color indexed="81"/>
            <rFont val="Tahoma"/>
            <family val="2"/>
          </rPr>
          <t>Used data from FSIS records rather than number provided on DCS.</t>
        </r>
      </text>
    </comment>
    <comment ref="F9" authorId="3">
      <text>
        <r>
          <rPr>
            <sz val="9"/>
            <color indexed="81"/>
            <rFont val="Tahoma"/>
            <family val="2"/>
          </rPr>
          <t>No Data entered on form.  Plant size pulled from establishment list</t>
        </r>
      </text>
    </comment>
    <comment ref="J9" authorId="3">
      <text>
        <r>
          <rPr>
            <sz val="9"/>
            <color indexed="81"/>
            <rFont val="Tahoma"/>
            <family val="2"/>
          </rPr>
          <t>Used data from FSIS records rather than number provided on DCS.</t>
        </r>
      </text>
    </comment>
    <comment ref="K9" authorId="3">
      <text>
        <r>
          <rPr>
            <sz val="9"/>
            <color indexed="81"/>
            <rFont val="Tahoma"/>
            <family val="2"/>
          </rPr>
          <t>Used data from FSIS records rather than number provided on DCS.</t>
        </r>
      </text>
    </comment>
    <comment ref="M9" authorId="3">
      <text>
        <r>
          <rPr>
            <sz val="9"/>
            <color indexed="81"/>
            <rFont val="Tahoma"/>
            <family val="2"/>
          </rPr>
          <t>Used data from FSIS records rather than number provided on DCS.</t>
        </r>
      </text>
    </comment>
    <comment ref="Q9" authorId="3">
      <text>
        <r>
          <rPr>
            <sz val="9"/>
            <color indexed="81"/>
            <rFont val="Tahoma"/>
            <family val="2"/>
          </rPr>
          <t>Used data from FSIS records rather than number provided on DCS.</t>
        </r>
      </text>
    </comment>
    <comment ref="T9" authorId="3">
      <text>
        <r>
          <rPr>
            <sz val="9"/>
            <color indexed="81"/>
            <rFont val="Tahoma"/>
            <family val="2"/>
          </rPr>
          <t>Used data from FSIS records rather than number provided on DCS.</t>
        </r>
      </text>
    </comment>
    <comment ref="Y9" authorId="3">
      <text>
        <r>
          <rPr>
            <sz val="9"/>
            <color indexed="81"/>
            <rFont val="Tahoma"/>
            <family val="2"/>
          </rPr>
          <t>Used data from FSIS records rather than number provided on DCS.</t>
        </r>
      </text>
    </comment>
    <comment ref="AA9" authorId="3">
      <text>
        <r>
          <rPr>
            <sz val="9"/>
            <color indexed="81"/>
            <rFont val="Tahoma"/>
            <family val="2"/>
          </rPr>
          <t>Used data from FSIS records rather than number provided on DCS.</t>
        </r>
      </text>
    </comment>
    <comment ref="AF9" authorId="3">
      <text>
        <r>
          <rPr>
            <sz val="9"/>
            <color indexed="81"/>
            <rFont val="Tahoma"/>
            <family val="2"/>
          </rPr>
          <t>Used data from FSIS records rather than number provided on DCS.</t>
        </r>
      </text>
    </comment>
    <comment ref="AG9" authorId="3">
      <text>
        <r>
          <rPr>
            <sz val="9"/>
            <color indexed="81"/>
            <rFont val="Tahoma"/>
            <family val="2"/>
          </rPr>
          <t>Pulled from Establishments information</t>
        </r>
      </text>
    </comment>
    <comment ref="AH9" authorId="3">
      <text>
        <r>
          <rPr>
            <sz val="9"/>
            <color indexed="81"/>
            <rFont val="Tahoma"/>
            <family val="2"/>
          </rPr>
          <t>Used data from FSIS records rather than number provided on DCS.</t>
        </r>
      </text>
    </comment>
    <comment ref="AJ9" authorId="3">
      <text>
        <r>
          <rPr>
            <sz val="9"/>
            <color indexed="81"/>
            <rFont val="Tahoma"/>
            <family val="2"/>
          </rPr>
          <t>Used data from FSIS records rather than number provided on DCS.</t>
        </r>
      </text>
    </comment>
    <comment ref="AQ9" authorId="3">
      <text>
        <r>
          <rPr>
            <sz val="9"/>
            <color indexed="81"/>
            <rFont val="Tahoma"/>
            <family val="2"/>
          </rPr>
          <t>Used data from FSIS records rather than number provided on DCS.</t>
        </r>
      </text>
    </comment>
    <comment ref="AT9" authorId="3">
      <text>
        <r>
          <rPr>
            <sz val="9"/>
            <color indexed="81"/>
            <rFont val="Tahoma"/>
            <family val="2"/>
          </rPr>
          <t>Used data from FSIS records rather than number provided on DCS.</t>
        </r>
      </text>
    </comment>
    <comment ref="AX9" authorId="3">
      <text>
        <r>
          <rPr>
            <sz val="9"/>
            <color indexed="81"/>
            <rFont val="Tahoma"/>
            <family val="2"/>
          </rPr>
          <t>Used data from FSIS records rather than number provided on DCS.</t>
        </r>
      </text>
    </comment>
    <comment ref="BH9" authorId="3">
      <text>
        <r>
          <rPr>
            <sz val="9"/>
            <color indexed="81"/>
            <rFont val="Tahoma"/>
            <family val="2"/>
          </rPr>
          <t>Used data from FSIS records rather than number provided on DCS.</t>
        </r>
      </text>
    </comment>
    <comment ref="BL9" authorId="3">
      <text>
        <r>
          <rPr>
            <sz val="9"/>
            <color indexed="81"/>
            <rFont val="Tahoma"/>
            <family val="2"/>
          </rPr>
          <t>Pulled from establishments tab</t>
        </r>
      </text>
    </comment>
    <comment ref="BM9" authorId="3">
      <text>
        <r>
          <rPr>
            <b/>
            <sz val="9"/>
            <color indexed="81"/>
            <rFont val="Tahoma"/>
            <family val="2"/>
          </rPr>
          <t>Amanda Kryway:</t>
        </r>
        <r>
          <rPr>
            <sz val="9"/>
            <color indexed="81"/>
            <rFont val="Tahoma"/>
            <family val="2"/>
          </rPr>
          <t xml:space="preserve">
Pulled from Establishments info</t>
        </r>
      </text>
    </comment>
    <comment ref="BP9" authorId="3">
      <text>
        <r>
          <rPr>
            <b/>
            <sz val="9"/>
            <color indexed="81"/>
            <rFont val="Tahoma"/>
            <family val="2"/>
          </rPr>
          <t>Amanda Kryway:</t>
        </r>
        <r>
          <rPr>
            <sz val="9"/>
            <color indexed="81"/>
            <rFont val="Tahoma"/>
            <family val="2"/>
          </rPr>
          <t xml:space="preserve">
Pulled from Establishment info</t>
        </r>
      </text>
    </comment>
    <comment ref="BS9" authorId="3">
      <text>
        <r>
          <rPr>
            <sz val="9"/>
            <color indexed="81"/>
            <rFont val="Tahoma"/>
            <family val="2"/>
          </rPr>
          <t>Used data from FSIS records rather than number provided on DCS.</t>
        </r>
      </text>
    </comment>
    <comment ref="CD9" authorId="3">
      <text>
        <r>
          <rPr>
            <sz val="9"/>
            <color indexed="81"/>
            <rFont val="Tahoma"/>
            <family val="2"/>
          </rPr>
          <t>Used data from FSIS records rather than number provided on DCS.</t>
        </r>
      </text>
    </comment>
    <comment ref="CI9" authorId="3">
      <text>
        <r>
          <rPr>
            <sz val="9"/>
            <color indexed="81"/>
            <rFont val="Tahoma"/>
            <family val="2"/>
          </rPr>
          <t>Used data from FSIS records rather than number provided on DCS.</t>
        </r>
      </text>
    </comment>
    <comment ref="CJ9" authorId="3">
      <text>
        <r>
          <rPr>
            <sz val="9"/>
            <color indexed="81"/>
            <rFont val="Tahoma"/>
            <family val="2"/>
          </rPr>
          <t>Used data from FSIS records rather than number provided on DCS.</t>
        </r>
      </text>
    </comment>
    <comment ref="CL9" authorId="3">
      <text>
        <r>
          <rPr>
            <sz val="9"/>
            <color indexed="81"/>
            <rFont val="Tahoma"/>
            <family val="2"/>
          </rPr>
          <t>Used data from FSIS records rather than number provided on DCS.</t>
        </r>
      </text>
    </comment>
    <comment ref="BV10" authorId="2">
      <text>
        <r>
          <rPr>
            <b/>
            <sz val="9"/>
            <color indexed="81"/>
            <rFont val="Tahoma"/>
            <family val="2"/>
          </rPr>
          <t>Karen:</t>
        </r>
        <r>
          <rPr>
            <sz val="9"/>
            <color indexed="81"/>
            <rFont val="Tahoma"/>
            <family val="2"/>
          </rPr>
          <t xml:space="preserve">
Stimulation time for 2b-2d.</t>
        </r>
      </text>
    </comment>
    <comment ref="CH10" authorId="2">
      <text>
        <r>
          <rPr>
            <sz val="9"/>
            <color indexed="81"/>
            <rFont val="Tahoma"/>
            <family val="2"/>
          </rPr>
          <t xml:space="preserve">Section 2 used EVDO. </t>
        </r>
        <r>
          <rPr>
            <b/>
            <sz val="9"/>
            <color indexed="81"/>
            <rFont val="Tahoma"/>
            <family val="2"/>
          </rPr>
          <t xml:space="preserve">
</t>
        </r>
        <r>
          <rPr>
            <sz val="9"/>
            <color indexed="81"/>
            <rFont val="Tahoma"/>
            <family val="2"/>
          </rPr>
          <t xml:space="preserve">
</t>
        </r>
      </text>
    </comment>
    <comment ref="D12" authorId="3">
      <text>
        <r>
          <rPr>
            <sz val="9"/>
            <color indexed="81"/>
            <rFont val="Tahoma"/>
            <family val="2"/>
          </rPr>
          <t>Original entry: 01:33:18</t>
        </r>
      </text>
    </comment>
    <comment ref="Q12" authorId="4">
      <text>
        <r>
          <rPr>
            <sz val="10"/>
            <color rgb="FF000000"/>
            <rFont val="Arial"/>
            <family val="2"/>
          </rPr>
          <t>"There were problems with lab availability, PHIS would not allow sample schedule due to availability."</t>
        </r>
      </text>
    </comment>
    <comment ref="N13" authorId="4">
      <text>
        <r>
          <rPr>
            <sz val="10"/>
            <color rgb="FF000000"/>
            <rFont val="Arial"/>
            <family val="2"/>
          </rPr>
          <t xml:space="preserve">Previously scheduled due to lab availability problems. </t>
        </r>
      </text>
    </comment>
    <comment ref="J17" authorId="3">
      <text>
        <r>
          <rPr>
            <b/>
            <sz val="9"/>
            <color indexed="81"/>
            <rFont val="Tahoma"/>
            <family val="2"/>
          </rPr>
          <t>Amanda Kryway:</t>
        </r>
        <r>
          <rPr>
            <sz val="9"/>
            <color indexed="81"/>
            <rFont val="Tahoma"/>
            <family val="2"/>
          </rPr>
          <t xml:space="preserve">
Time entered in form was 00.34.  Interpreting this to be 01.34, as preceding step was 00.51 and subsequent step was 01.45</t>
        </r>
      </text>
    </comment>
    <comment ref="F21" authorId="3">
      <text>
        <r>
          <rPr>
            <sz val="9"/>
            <color indexed="81"/>
            <rFont val="Tahoma"/>
            <family val="2"/>
          </rPr>
          <t>It appears inspector did not time this step.  29 08 is entered, but it is believed this is a record of the temperature, not a time indication</t>
        </r>
      </text>
    </comment>
    <comment ref="BW21" authorId="2">
      <text>
        <r>
          <rPr>
            <sz val="9"/>
            <color indexed="81"/>
            <rFont val="Tahoma"/>
            <family val="2"/>
          </rPr>
          <t xml:space="preserve">Misunderstood, timer thought only to record temperature. </t>
        </r>
      </text>
    </comment>
    <comment ref="BZ21" authorId="2">
      <text>
        <r>
          <rPr>
            <b/>
            <sz val="9"/>
            <color indexed="81"/>
            <rFont val="Tahoma"/>
            <family val="2"/>
          </rPr>
          <t xml:space="preserve">Karen: Misunderstood, timer thought only to record temperature. </t>
        </r>
      </text>
    </comment>
    <comment ref="CC21" authorId="2">
      <text>
        <r>
          <rPr>
            <b/>
            <sz val="9"/>
            <color indexed="81"/>
            <rFont val="Tahoma"/>
            <family val="2"/>
          </rPr>
          <t xml:space="preserve">Karen: Misunderstood, timer thought only to record temperature. </t>
        </r>
      </text>
    </comment>
    <comment ref="BY22" authorId="2">
      <text>
        <r>
          <rPr>
            <b/>
            <sz val="9"/>
            <color indexed="81"/>
            <rFont val="Tahoma"/>
            <family val="2"/>
          </rPr>
          <t xml:space="preserve">Karen:
Please see DCS, rearranged the times for end of section 3 and section 4. </t>
        </r>
        <r>
          <rPr>
            <sz val="9"/>
            <color indexed="81"/>
            <rFont val="Tahoma"/>
            <family val="2"/>
          </rPr>
          <t xml:space="preserve">
</t>
        </r>
      </text>
    </comment>
    <comment ref="CA22" authorId="2">
      <text>
        <r>
          <rPr>
            <b/>
            <sz val="9"/>
            <color indexed="81"/>
            <rFont val="Tahoma"/>
            <family val="2"/>
          </rPr>
          <t>Karen:
Rearranged this time.</t>
        </r>
        <r>
          <rPr>
            <sz val="9"/>
            <color indexed="81"/>
            <rFont val="Tahoma"/>
            <family val="2"/>
          </rPr>
          <t xml:space="preserve">
</t>
        </r>
      </text>
    </comment>
    <comment ref="CF22" authorId="2">
      <text>
        <r>
          <rPr>
            <b/>
            <sz val="9"/>
            <color indexed="81"/>
            <rFont val="Tahoma"/>
            <family val="2"/>
          </rPr>
          <t xml:space="preserve">Karen:
Please see DCS, rearranged the times for end of section 3 and section 4. </t>
        </r>
        <r>
          <rPr>
            <sz val="9"/>
            <color indexed="81"/>
            <rFont val="Tahoma"/>
            <family val="2"/>
          </rPr>
          <t xml:space="preserve">
</t>
        </r>
      </text>
    </comment>
    <comment ref="O23" authorId="4">
      <text>
        <r>
          <rPr>
            <sz val="10"/>
            <color rgb="FF000000"/>
            <rFont val="Arial"/>
            <family val="2"/>
          </rPr>
          <t>Made an assumption here that timer actually meant 30 mins 19 sec vice 30.19 secs.</t>
        </r>
      </text>
    </comment>
    <comment ref="D24" authorId="3">
      <text>
        <r>
          <rPr>
            <sz val="9"/>
            <color indexed="81"/>
            <rFont val="Tahoma"/>
            <family val="2"/>
          </rPr>
          <t>Original entry: 1:52:08
This format was followed for section 4 on this form.  Interpreted as mm:ss.ss</t>
        </r>
      </text>
    </comment>
    <comment ref="F24" authorId="3">
      <text>
        <r>
          <rPr>
            <sz val="9"/>
            <color indexed="81"/>
            <rFont val="Tahoma"/>
            <family val="2"/>
          </rPr>
          <t>Timer appears to have recorded duration for these steps instead of stopwatch time.  Have translated those durations into times for this analysis</t>
        </r>
      </text>
    </comment>
    <comment ref="BW24" authorId="2">
      <text>
        <r>
          <rPr>
            <sz val="9"/>
            <color indexed="81"/>
            <rFont val="Tahoma"/>
            <family val="2"/>
          </rPr>
          <t xml:space="preserve">These steps were completed in section 2. </t>
        </r>
      </text>
    </comment>
    <comment ref="CH24" authorId="2">
      <text>
        <r>
          <rPr>
            <sz val="9"/>
            <color indexed="81"/>
            <rFont val="Tahoma"/>
            <family val="2"/>
          </rPr>
          <t xml:space="preserve">EVDO from 4.b. to 4.f.
</t>
        </r>
      </text>
    </comment>
    <comment ref="Q25" authorId="4">
      <text>
        <r>
          <rPr>
            <sz val="10"/>
            <color rgb="FF000000"/>
            <rFont val="Arial"/>
            <family val="2"/>
          </rPr>
          <t xml:space="preserve">"Done at step 2g."
</t>
        </r>
      </text>
    </comment>
    <comment ref="BV28" authorId="2">
      <text>
        <r>
          <rPr>
            <b/>
            <sz val="9"/>
            <color indexed="81"/>
            <rFont val="Tahoma"/>
            <family val="2"/>
          </rPr>
          <t>Karen:</t>
        </r>
        <r>
          <rPr>
            <sz val="9"/>
            <color indexed="81"/>
            <rFont val="Tahoma"/>
            <family val="2"/>
          </rPr>
          <t xml:space="preserve">
Pg 5 = 12 mins 21 sec or 12.35 mins</t>
        </r>
      </text>
    </comment>
    <comment ref="CH29" authorId="2">
      <text>
        <r>
          <rPr>
            <sz val="9"/>
            <color indexed="81"/>
            <rFont val="Tahoma"/>
            <family val="2"/>
          </rPr>
          <t xml:space="preserve">DSL from 4.g. to 4.i.
Incorporate the comments into this number to factor in "off-line" time.  However a chunk of it is missing, the time it took to switch to DSL and get back on line.  </t>
        </r>
      </text>
    </comment>
    <comment ref="D34" authorId="3">
      <text>
        <r>
          <rPr>
            <sz val="9"/>
            <color indexed="81"/>
            <rFont val="Tahoma"/>
            <family val="2"/>
          </rPr>
          <t>Note on form indicates this step was to call FedEx; implies no travel</t>
        </r>
      </text>
    </comment>
    <comment ref="N35" authorId="4">
      <text>
        <r>
          <rPr>
            <sz val="10"/>
            <color rgb="FF000000"/>
            <rFont val="Arial"/>
            <family val="2"/>
          </rPr>
          <t xml:space="preserve">Comment regarding step 2e. 
</t>
        </r>
      </text>
    </comment>
    <comment ref="O35" authorId="4">
      <text>
        <r>
          <rPr>
            <sz val="10"/>
            <color rgb="FF000000"/>
            <rFont val="Arial"/>
            <family val="2"/>
          </rPr>
          <t>Reported times in min:sec:1/100 sec</t>
        </r>
      </text>
    </comment>
    <comment ref="Q35" authorId="4">
      <text>
        <r>
          <rPr>
            <sz val="10"/>
            <color rgb="FF000000"/>
            <rFont val="Arial"/>
            <family val="2"/>
          </rPr>
          <t>"There were problems with lab availability, PHIS would not allow sample schedule due to availability."</t>
        </r>
      </text>
    </comment>
    <comment ref="BY36" authorId="2">
      <text>
        <r>
          <rPr>
            <b/>
            <sz val="9"/>
            <color indexed="81"/>
            <rFont val="Tahoma"/>
            <family val="2"/>
          </rPr>
          <t xml:space="preserve">Karen:
Sample had to go to airport Fedex site. </t>
        </r>
        <r>
          <rPr>
            <sz val="9"/>
            <color indexed="81"/>
            <rFont val="Tahoma"/>
            <family val="2"/>
          </rPr>
          <t xml:space="preserve">
</t>
        </r>
      </text>
    </comment>
    <comment ref="CA36" authorId="2">
      <text>
        <r>
          <rPr>
            <b/>
            <sz val="9"/>
            <color indexed="81"/>
            <rFont val="Tahoma"/>
            <family val="2"/>
          </rPr>
          <t>Karen:</t>
        </r>
        <r>
          <rPr>
            <sz val="9"/>
            <color indexed="81"/>
            <rFont val="Tahoma"/>
            <family val="2"/>
          </rPr>
          <t xml:space="preserve">
"3h was moved to 4a where it was timed separately."</t>
        </r>
      </text>
    </comment>
    <comment ref="CH36" authorId="2">
      <text>
        <r>
          <rPr>
            <sz val="9"/>
            <color indexed="81"/>
            <rFont val="Tahoma"/>
            <family val="2"/>
          </rPr>
          <t xml:space="preserve">Detailed description on how EVDO kicked off the user three separate times in section 4.  The user finally had to switch to DSL to complete task.  
</t>
        </r>
      </text>
    </comment>
  </commentList>
</comments>
</file>

<file path=xl/comments4.xml><?xml version="1.0" encoding="utf-8"?>
<comments xmlns="http://schemas.openxmlformats.org/spreadsheetml/2006/main">
  <authors>
    <author>Chris</author>
    <author>Amanda Kryway</author>
  </authors>
  <commentList>
    <comment ref="Z11" authorId="0">
      <text>
        <r>
          <rPr>
            <b/>
            <sz val="9"/>
            <color indexed="81"/>
            <rFont val="Tahoma"/>
            <family val="2"/>
          </rPr>
          <t>Chris:</t>
        </r>
        <r>
          <rPr>
            <sz val="9"/>
            <color indexed="81"/>
            <rFont val="Tahoma"/>
            <family val="2"/>
          </rPr>
          <t xml:space="preserve">
Reported as N/A</t>
        </r>
      </text>
    </comment>
    <comment ref="W13" authorId="0">
      <text>
        <r>
          <rPr>
            <b/>
            <sz val="9"/>
            <color indexed="81"/>
            <rFont val="Tahoma"/>
            <family val="2"/>
          </rPr>
          <t>Chris:</t>
        </r>
        <r>
          <rPr>
            <sz val="9"/>
            <color indexed="81"/>
            <rFont val="Tahoma"/>
            <family val="2"/>
          </rPr>
          <t xml:space="preserve">
Reported as "N/A"</t>
        </r>
      </text>
    </comment>
    <comment ref="X13" authorId="0">
      <text>
        <r>
          <rPr>
            <b/>
            <sz val="9"/>
            <color indexed="81"/>
            <rFont val="Tahoma"/>
            <family val="2"/>
          </rPr>
          <t>Chris:</t>
        </r>
        <r>
          <rPr>
            <sz val="9"/>
            <color indexed="81"/>
            <rFont val="Tahoma"/>
            <family val="2"/>
          </rPr>
          <t xml:space="preserve">
Reported as 'N/A'</t>
        </r>
      </text>
    </comment>
    <comment ref="X15" authorId="0">
      <text>
        <r>
          <rPr>
            <b/>
            <sz val="9"/>
            <color indexed="81"/>
            <rFont val="Tahoma"/>
            <family val="2"/>
          </rPr>
          <t>Chris:</t>
        </r>
        <r>
          <rPr>
            <sz val="9"/>
            <color indexed="81"/>
            <rFont val="Tahoma"/>
            <family val="2"/>
          </rPr>
          <t xml:space="preserve">
Reported as 'Delayed"</t>
        </r>
      </text>
    </comment>
    <comment ref="Z15" authorId="0">
      <text>
        <r>
          <rPr>
            <b/>
            <sz val="9"/>
            <color indexed="81"/>
            <rFont val="Tahoma"/>
            <family val="2"/>
          </rPr>
          <t>Chris:</t>
        </r>
        <r>
          <rPr>
            <sz val="9"/>
            <color indexed="81"/>
            <rFont val="Tahoma"/>
            <family val="2"/>
          </rPr>
          <t xml:space="preserve">
Reported as N/A</t>
        </r>
      </text>
    </comment>
    <comment ref="P22" authorId="1">
      <text>
        <r>
          <rPr>
            <b/>
            <sz val="9"/>
            <color indexed="81"/>
            <rFont val="Tahoma"/>
            <family val="2"/>
          </rPr>
          <t>Amanda Kryway:</t>
        </r>
        <r>
          <rPr>
            <sz val="9"/>
            <color indexed="81"/>
            <rFont val="Tahoma"/>
            <family val="2"/>
          </rPr>
          <t xml:space="preserve">
Unique calculation for out-of-order steps.</t>
        </r>
      </text>
    </comment>
    <comment ref="S22" authorId="1">
      <text>
        <r>
          <rPr>
            <b/>
            <sz val="9"/>
            <color indexed="81"/>
            <rFont val="Tahoma"/>
            <family val="2"/>
          </rPr>
          <t>Amanda Kryway:</t>
        </r>
        <r>
          <rPr>
            <sz val="9"/>
            <color indexed="81"/>
            <rFont val="Tahoma"/>
            <family val="2"/>
          </rPr>
          <t xml:space="preserve">
Unique calculation for out-of-order steps.</t>
        </r>
      </text>
    </comment>
    <comment ref="AC22" authorId="1">
      <text>
        <r>
          <rPr>
            <b/>
            <sz val="9"/>
            <color indexed="81"/>
            <rFont val="Tahoma"/>
            <family val="2"/>
          </rPr>
          <t>Amanda Kryway:</t>
        </r>
        <r>
          <rPr>
            <sz val="9"/>
            <color indexed="81"/>
            <rFont val="Tahoma"/>
            <family val="2"/>
          </rPr>
          <t xml:space="preserve">
Unique calculation for out-of-order steps.</t>
        </r>
      </text>
    </comment>
    <comment ref="AN22" authorId="1">
      <text>
        <r>
          <rPr>
            <b/>
            <sz val="9"/>
            <color indexed="81"/>
            <rFont val="Tahoma"/>
            <family val="2"/>
          </rPr>
          <t>Amanda Kryway:</t>
        </r>
        <r>
          <rPr>
            <sz val="9"/>
            <color indexed="81"/>
            <rFont val="Tahoma"/>
            <family val="2"/>
          </rPr>
          <t xml:space="preserve">
Unique calculation for out-of-order steps.</t>
        </r>
      </text>
    </comment>
    <comment ref="AP22" authorId="1">
      <text>
        <r>
          <rPr>
            <b/>
            <sz val="9"/>
            <color indexed="81"/>
            <rFont val="Tahoma"/>
            <family val="2"/>
          </rPr>
          <t>Amanda Kryway:</t>
        </r>
        <r>
          <rPr>
            <sz val="9"/>
            <color indexed="81"/>
            <rFont val="Tahoma"/>
            <family val="2"/>
          </rPr>
          <t xml:space="preserve">
Unique calculation for out-of-order steps.</t>
        </r>
      </text>
    </comment>
    <comment ref="AT22" authorId="1">
      <text>
        <r>
          <rPr>
            <b/>
            <sz val="9"/>
            <color indexed="81"/>
            <rFont val="Tahoma"/>
            <family val="2"/>
          </rPr>
          <t>Amanda Kryway:</t>
        </r>
        <r>
          <rPr>
            <sz val="9"/>
            <color indexed="81"/>
            <rFont val="Tahoma"/>
            <family val="2"/>
          </rPr>
          <t xml:space="preserve">
Unique calculation for out-of-order steps.</t>
        </r>
      </text>
    </comment>
    <comment ref="BI22" authorId="1">
      <text>
        <r>
          <rPr>
            <b/>
            <sz val="9"/>
            <color indexed="81"/>
            <rFont val="Tahoma"/>
            <family val="2"/>
          </rPr>
          <t>Amanda Kryway:</t>
        </r>
        <r>
          <rPr>
            <sz val="9"/>
            <color indexed="81"/>
            <rFont val="Tahoma"/>
            <family val="2"/>
          </rPr>
          <t xml:space="preserve">
Unique calculation due to out-of-order steps</t>
        </r>
      </text>
    </comment>
    <comment ref="BM22" authorId="1">
      <text>
        <r>
          <rPr>
            <b/>
            <sz val="9"/>
            <color indexed="81"/>
            <rFont val="Tahoma"/>
            <family val="2"/>
          </rPr>
          <t>Amanda Kryway:</t>
        </r>
        <r>
          <rPr>
            <sz val="9"/>
            <color indexed="81"/>
            <rFont val="Tahoma"/>
            <family val="2"/>
          </rPr>
          <t xml:space="preserve">
Unique calculation due to out-of-order steps</t>
        </r>
      </text>
    </comment>
    <comment ref="P23" authorId="1">
      <text>
        <r>
          <rPr>
            <b/>
            <sz val="9"/>
            <color indexed="81"/>
            <rFont val="Tahoma"/>
            <family val="2"/>
          </rPr>
          <t>Amanda Kryway:</t>
        </r>
        <r>
          <rPr>
            <sz val="9"/>
            <color indexed="81"/>
            <rFont val="Tahoma"/>
            <family val="2"/>
          </rPr>
          <t xml:space="preserve">
Unique calculation for out-of-order steps.</t>
        </r>
      </text>
    </comment>
    <comment ref="S23" authorId="1">
      <text>
        <r>
          <rPr>
            <b/>
            <sz val="9"/>
            <color indexed="81"/>
            <rFont val="Tahoma"/>
            <family val="2"/>
          </rPr>
          <t>Amanda Kryway:</t>
        </r>
        <r>
          <rPr>
            <sz val="9"/>
            <color indexed="81"/>
            <rFont val="Tahoma"/>
            <family val="2"/>
          </rPr>
          <t xml:space="preserve">
Unique calculation for out-of-order steps.</t>
        </r>
      </text>
    </comment>
    <comment ref="AC23" authorId="1">
      <text>
        <r>
          <rPr>
            <b/>
            <sz val="9"/>
            <color indexed="81"/>
            <rFont val="Tahoma"/>
            <family val="2"/>
          </rPr>
          <t>Amanda Kryway:</t>
        </r>
        <r>
          <rPr>
            <sz val="9"/>
            <color indexed="81"/>
            <rFont val="Tahoma"/>
            <family val="2"/>
          </rPr>
          <t xml:space="preserve">
Unique calculation for out-of-order steps.</t>
        </r>
      </text>
    </comment>
    <comment ref="AN23" authorId="1">
      <text>
        <r>
          <rPr>
            <b/>
            <sz val="9"/>
            <color indexed="81"/>
            <rFont val="Tahoma"/>
            <family val="2"/>
          </rPr>
          <t>Amanda Kryway:</t>
        </r>
        <r>
          <rPr>
            <sz val="9"/>
            <color indexed="81"/>
            <rFont val="Tahoma"/>
            <family val="2"/>
          </rPr>
          <t xml:space="preserve">
Unique calculation for out-of-order steps.</t>
        </r>
      </text>
    </comment>
    <comment ref="AP23" authorId="1">
      <text>
        <r>
          <rPr>
            <b/>
            <sz val="9"/>
            <color indexed="81"/>
            <rFont val="Tahoma"/>
            <family val="2"/>
          </rPr>
          <t>Amanda Kryway:</t>
        </r>
        <r>
          <rPr>
            <sz val="9"/>
            <color indexed="81"/>
            <rFont val="Tahoma"/>
            <family val="2"/>
          </rPr>
          <t xml:space="preserve">
Unique calculation for out-of-order steps.</t>
        </r>
      </text>
    </comment>
    <comment ref="AT23" authorId="1">
      <text>
        <r>
          <rPr>
            <b/>
            <sz val="9"/>
            <color indexed="81"/>
            <rFont val="Tahoma"/>
            <family val="2"/>
          </rPr>
          <t>Amanda Kryway:</t>
        </r>
        <r>
          <rPr>
            <sz val="9"/>
            <color indexed="81"/>
            <rFont val="Tahoma"/>
            <family val="2"/>
          </rPr>
          <t xml:space="preserve">
Unique calculation for out-of-order steps.</t>
        </r>
      </text>
    </comment>
    <comment ref="BI23" authorId="1">
      <text>
        <r>
          <rPr>
            <b/>
            <sz val="9"/>
            <color indexed="81"/>
            <rFont val="Tahoma"/>
            <family val="2"/>
          </rPr>
          <t>Amanda Kryway:</t>
        </r>
        <r>
          <rPr>
            <sz val="9"/>
            <color indexed="81"/>
            <rFont val="Tahoma"/>
            <family val="2"/>
          </rPr>
          <t xml:space="preserve">
Unique calculation due to out of order steps</t>
        </r>
      </text>
    </comment>
    <comment ref="BM23" authorId="1">
      <text>
        <r>
          <rPr>
            <b/>
            <sz val="9"/>
            <color indexed="81"/>
            <rFont val="Tahoma"/>
            <family val="2"/>
          </rPr>
          <t>Amanda Kryway:</t>
        </r>
        <r>
          <rPr>
            <sz val="9"/>
            <color indexed="81"/>
            <rFont val="Tahoma"/>
            <family val="2"/>
          </rPr>
          <t xml:space="preserve">
Unique calculation due to out-of-order steps</t>
        </r>
      </text>
    </comment>
    <comment ref="X32" authorId="0">
      <text>
        <r>
          <rPr>
            <b/>
            <sz val="9"/>
            <color indexed="81"/>
            <rFont val="Tahoma"/>
            <family val="2"/>
          </rPr>
          <t>Chris:</t>
        </r>
        <r>
          <rPr>
            <sz val="9"/>
            <color indexed="81"/>
            <rFont val="Tahoma"/>
            <family val="2"/>
          </rPr>
          <t xml:space="preserve">
Reported as N/A
</t>
        </r>
      </text>
    </comment>
  </commentList>
</comments>
</file>

<file path=xl/sharedStrings.xml><?xml version="1.0" encoding="utf-8"?>
<sst xmlns="http://schemas.openxmlformats.org/spreadsheetml/2006/main" count="2499" uniqueCount="394">
  <si>
    <t>Field</t>
  </si>
  <si>
    <t>DSL</t>
  </si>
  <si>
    <t>Type</t>
  </si>
  <si>
    <t>Indirect</t>
  </si>
  <si>
    <t>Travel (Internal)</t>
  </si>
  <si>
    <t>Indirect Multiplier</t>
  </si>
  <si>
    <t>Direct</t>
  </si>
  <si>
    <t>Direct (Minutes)</t>
  </si>
  <si>
    <t>Indirect (Minutes)</t>
  </si>
  <si>
    <t>Travel (Minutes)</t>
  </si>
  <si>
    <t>NA</t>
  </si>
  <si>
    <t>Plant Size</t>
  </si>
  <si>
    <t>Average Duration (All Plants)</t>
  </si>
  <si>
    <t>Average Duration (Large Plants)</t>
  </si>
  <si>
    <t>Average Duration
(Med Plants)</t>
  </si>
  <si>
    <t>NULL</t>
  </si>
  <si>
    <t>District</t>
  </si>
  <si>
    <t>Inspection Measured Area</t>
  </si>
  <si>
    <t>Travel (External) - Distance</t>
  </si>
  <si>
    <t>1.a.</t>
  </si>
  <si>
    <t>1.b.</t>
  </si>
  <si>
    <t>1.c.</t>
  </si>
  <si>
    <t>1.d.</t>
  </si>
  <si>
    <t>1.e.</t>
  </si>
  <si>
    <t>1.f.</t>
  </si>
  <si>
    <t>1.g.</t>
  </si>
  <si>
    <t>1.h.</t>
  </si>
  <si>
    <t>2.b.</t>
  </si>
  <si>
    <t>2.c.</t>
  </si>
  <si>
    <t>2.d.</t>
  </si>
  <si>
    <t>2.e.</t>
  </si>
  <si>
    <t>2.f.</t>
  </si>
  <si>
    <t>2.g.</t>
  </si>
  <si>
    <t>3.b.</t>
  </si>
  <si>
    <t>3.c.</t>
  </si>
  <si>
    <t>3.d.</t>
  </si>
  <si>
    <t>3.e.</t>
  </si>
  <si>
    <t>3.f.</t>
  </si>
  <si>
    <t>3.g.</t>
  </si>
  <si>
    <t>3.h.</t>
  </si>
  <si>
    <t>3.i.</t>
  </si>
  <si>
    <t>4.b.</t>
  </si>
  <si>
    <t>4.c.</t>
  </si>
  <si>
    <t>4.d.</t>
  </si>
  <si>
    <t>4.e.</t>
  </si>
  <si>
    <t>4.f.</t>
  </si>
  <si>
    <t>4.g.</t>
  </si>
  <si>
    <t>4.h.</t>
  </si>
  <si>
    <t>4.i.</t>
  </si>
  <si>
    <t>4.j.</t>
  </si>
  <si>
    <t>4.k.</t>
  </si>
  <si>
    <t>4.l.1</t>
  </si>
  <si>
    <t>4.l.2</t>
  </si>
  <si>
    <t>004-13</t>
  </si>
  <si>
    <t>005-13</t>
  </si>
  <si>
    <t>006-13</t>
  </si>
  <si>
    <t>007-13</t>
  </si>
  <si>
    <t>008-13</t>
  </si>
  <si>
    <t>009-13</t>
  </si>
  <si>
    <t>010-13</t>
  </si>
  <si>
    <t>Total Direct and Indirect Time</t>
  </si>
  <si>
    <t>N60</t>
  </si>
  <si>
    <t>N/A</t>
  </si>
  <si>
    <t>Please see DCS</t>
  </si>
  <si>
    <t>002-13</t>
  </si>
  <si>
    <t>No Comments</t>
  </si>
  <si>
    <t>003-13</t>
  </si>
  <si>
    <t>001-13</t>
  </si>
  <si>
    <t>T1</t>
  </si>
  <si>
    <t>EVDO</t>
  </si>
  <si>
    <t>Plant Size Category</t>
  </si>
  <si>
    <t>WiFi</t>
  </si>
  <si>
    <t>20 miles, 
25 mins</t>
  </si>
  <si>
    <t>64 miles, 
1 hour 15 mins</t>
  </si>
  <si>
    <t>Small</t>
  </si>
  <si>
    <t>Medium</t>
  </si>
  <si>
    <t>Upper bound for:</t>
  </si>
  <si>
    <t>Sq. Feet:</t>
  </si>
  <si>
    <t>Total Indirect Time</t>
  </si>
  <si>
    <t>Total Direct Time</t>
  </si>
  <si>
    <t>Total Travel</t>
  </si>
  <si>
    <t>Large</t>
  </si>
  <si>
    <t>Contents</t>
  </si>
  <si>
    <t>Count</t>
  </si>
  <si>
    <t>Sum</t>
  </si>
  <si>
    <t>Variance</t>
  </si>
  <si>
    <t>df</t>
  </si>
  <si>
    <t>F</t>
  </si>
  <si>
    <t>Mean</t>
  </si>
  <si>
    <t>Standard Error</t>
  </si>
  <si>
    <t>Median</t>
  </si>
  <si>
    <t>Mode</t>
  </si>
  <si>
    <t>Standard Deviation</t>
  </si>
  <si>
    <t>Sample Variance</t>
  </si>
  <si>
    <t>Kurtosis</t>
  </si>
  <si>
    <t>Skewness</t>
  </si>
  <si>
    <t>Range</t>
  </si>
  <si>
    <t>Minimum</t>
  </si>
  <si>
    <t>Maximum</t>
  </si>
  <si>
    <t>Serial #</t>
  </si>
  <si>
    <t>Average Duration (Small Plants)</t>
  </si>
  <si>
    <t>Total Population Statistics</t>
  </si>
  <si>
    <t>Direct Time</t>
  </si>
  <si>
    <t>Indirect Time</t>
  </si>
  <si>
    <t>Null Hypothesis</t>
  </si>
  <si>
    <t>Sample Size</t>
  </si>
  <si>
    <t>t-Test</t>
  </si>
  <si>
    <t>t-value lookup</t>
  </si>
  <si>
    <t>alpha</t>
  </si>
  <si>
    <t>Results</t>
  </si>
  <si>
    <t>Students t-distribution</t>
  </si>
  <si>
    <t>1-tail area</t>
  </si>
  <si>
    <t>2-tail area</t>
  </si>
  <si>
    <t>z</t>
  </si>
  <si>
    <t>Prepared by Dr. Sims, 31-Mar-07</t>
  </si>
  <si>
    <t>Establishments</t>
  </si>
  <si>
    <t>Raw Data</t>
  </si>
  <si>
    <t>Constants</t>
  </si>
  <si>
    <t>Data for Analysis</t>
  </si>
  <si>
    <t>Task Durations</t>
  </si>
  <si>
    <t>Indirect vs Direct</t>
  </si>
  <si>
    <t>Total Pop</t>
  </si>
  <si>
    <t>Descriptive Stats</t>
  </si>
  <si>
    <t>t-Distribution</t>
  </si>
  <si>
    <t>Contains elements of the Plant Profile for each establishment with an opportunity for MT60 collection during the sample period</t>
  </si>
  <si>
    <t>Contains the direct data from the Data Collection Sheets (enter data here)</t>
  </si>
  <si>
    <t>Allows the user to change the definition of Small, Medium, and Large Plant sizes</t>
  </si>
  <si>
    <t>Breakdown of each task on the Data Collection Sheet and the associated time recorded for each</t>
  </si>
  <si>
    <t>Analysis of Indirect vs Direct Inspection Time</t>
  </si>
  <si>
    <t>Look Up table for t-values used in the Inferential Stats Tab</t>
  </si>
  <si>
    <t>Last Update</t>
  </si>
  <si>
    <t>t-value calculated</t>
  </si>
  <si>
    <t>Analysis of the entire sample population for Indirect Multiplier and average task durations</t>
  </si>
  <si>
    <t>011-13</t>
  </si>
  <si>
    <t>012-13</t>
  </si>
  <si>
    <t>013-13</t>
  </si>
  <si>
    <t>014-13</t>
  </si>
  <si>
    <t>2lb Grab</t>
  </si>
  <si>
    <t>60 miles, 
90 mins</t>
  </si>
  <si>
    <t>47 mins</t>
  </si>
  <si>
    <t>Total Plants</t>
  </si>
  <si>
    <t>Not Yet Reported</t>
  </si>
  <si>
    <t>Reporting Plant Size</t>
  </si>
  <si>
    <t>Districts</t>
  </si>
  <si>
    <t>Reporting District</t>
  </si>
  <si>
    <t>015-13</t>
  </si>
  <si>
    <t>016-13</t>
  </si>
  <si>
    <t>017-13</t>
  </si>
  <si>
    <t>018-13</t>
  </si>
  <si>
    <t>019-13</t>
  </si>
  <si>
    <t>020-13</t>
  </si>
  <si>
    <t>021-13</t>
  </si>
  <si>
    <t>022-13</t>
  </si>
  <si>
    <t>023-13</t>
  </si>
  <si>
    <t>024-13</t>
  </si>
  <si>
    <t>Delayed</t>
  </si>
  <si>
    <t>No</t>
  </si>
  <si>
    <t>5 miles, 
15 mins</t>
  </si>
  <si>
    <t>13 miles, 
20 mins</t>
  </si>
  <si>
    <t>20 mins</t>
  </si>
  <si>
    <t>9 miles, 
15 mins</t>
  </si>
  <si>
    <t>4.2 miles, 
9.25 mins</t>
  </si>
  <si>
    <t>025-13</t>
  </si>
  <si>
    <t>026-13</t>
  </si>
  <si>
    <t>027-13</t>
  </si>
  <si>
    <t>028-13</t>
  </si>
  <si>
    <t>029-13</t>
  </si>
  <si>
    <t>030-13</t>
  </si>
  <si>
    <t>031-13</t>
  </si>
  <si>
    <t>032-13</t>
  </si>
  <si>
    <t>033-13</t>
  </si>
  <si>
    <t>034-13</t>
  </si>
  <si>
    <t>035-13</t>
  </si>
  <si>
    <t>036-13</t>
  </si>
  <si>
    <t>037-13</t>
  </si>
  <si>
    <t>038-13</t>
  </si>
  <si>
    <t>039-13</t>
  </si>
  <si>
    <t>040-13</t>
  </si>
  <si>
    <t>041-13</t>
  </si>
  <si>
    <t>042-13</t>
  </si>
  <si>
    <t>043-13</t>
  </si>
  <si>
    <t>044-13</t>
  </si>
  <si>
    <t>045-13</t>
  </si>
  <si>
    <t>046-13</t>
  </si>
  <si>
    <t>047-13</t>
  </si>
  <si>
    <t>048-13</t>
  </si>
  <si>
    <t>049-13</t>
  </si>
  <si>
    <t>050-13</t>
  </si>
  <si>
    <t>051-13</t>
  </si>
  <si>
    <t>052-13</t>
  </si>
  <si>
    <t>053-13</t>
  </si>
  <si>
    <t>054-13</t>
  </si>
  <si>
    <t>055-13</t>
  </si>
  <si>
    <t>056-13</t>
  </si>
  <si>
    <t>057-13</t>
  </si>
  <si>
    <t>058-13</t>
  </si>
  <si>
    <t>059-13</t>
  </si>
  <si>
    <t>060-13</t>
  </si>
  <si>
    <t>061-13</t>
  </si>
  <si>
    <t>062-13</t>
  </si>
  <si>
    <t>063-13</t>
  </si>
  <si>
    <t>064-13</t>
  </si>
  <si>
    <t>065-13</t>
  </si>
  <si>
    <t>066-13</t>
  </si>
  <si>
    <t>067-13</t>
  </si>
  <si>
    <t>068-13</t>
  </si>
  <si>
    <t>069-13</t>
  </si>
  <si>
    <t>070-13</t>
  </si>
  <si>
    <t>071-13</t>
  </si>
  <si>
    <t>072-13</t>
  </si>
  <si>
    <t>11/6/2013, 11/13/2013</t>
  </si>
  <si>
    <t>Done in 4.b.</t>
  </si>
  <si>
    <t>2.0938, 5.995</t>
  </si>
  <si>
    <t>10.461, 1.948</t>
  </si>
  <si>
    <t xml:space="preserve">Please see DCS 
</t>
  </si>
  <si>
    <t xml:space="preserve">DSL </t>
  </si>
  <si>
    <t>073-13</t>
  </si>
  <si>
    <t>074-13</t>
  </si>
  <si>
    <t>075-13</t>
  </si>
  <si>
    <t>076-13</t>
  </si>
  <si>
    <t>Manipulation of the Raw Data Tab to remove invalid data</t>
  </si>
  <si>
    <t>Small - Direct (Minutes)</t>
  </si>
  <si>
    <t>Small - Indirect (Minutes)</t>
  </si>
  <si>
    <t>Medium - Direct (Minutes)</t>
  </si>
  <si>
    <t>Medium - Indirect (Minutes)</t>
  </si>
  <si>
    <t>Large - Direct (Minutes)</t>
  </si>
  <si>
    <t>Large - Indirect (Minutes)</t>
  </si>
  <si>
    <t>SUMMARY</t>
  </si>
  <si>
    <t>Groups</t>
  </si>
  <si>
    <t>Average</t>
  </si>
  <si>
    <t>ANOVA</t>
  </si>
  <si>
    <t>Source of Variation</t>
  </si>
  <si>
    <t>SS</t>
  </si>
  <si>
    <t>MS</t>
  </si>
  <si>
    <t>P-value</t>
  </si>
  <si>
    <t>F crit</t>
  </si>
  <si>
    <t>Between Groups</t>
  </si>
  <si>
    <t>Within Groups</t>
  </si>
  <si>
    <t>Total</t>
  </si>
  <si>
    <t>Data</t>
  </si>
  <si>
    <t>Collection Type</t>
  </si>
  <si>
    <t>Same collector/timer</t>
  </si>
  <si>
    <t>Std Dev</t>
  </si>
  <si>
    <t>2lb grab - Direct</t>
  </si>
  <si>
    <t>N60 - Direct</t>
  </si>
  <si>
    <t>2lb grab - Indirect</t>
  </si>
  <si>
    <t>N60 - Indirect</t>
  </si>
  <si>
    <t>N60 = 2lb Grab</t>
  </si>
  <si>
    <t>N60 - Indirect Time</t>
  </si>
  <si>
    <t>2lb Grab - Indirect Time</t>
  </si>
  <si>
    <t>N60 - Direct Time</t>
  </si>
  <si>
    <t>2lb Grab - Direct Time</t>
  </si>
  <si>
    <t>Standard Normal Table</t>
  </si>
  <si>
    <t>Prepared by Dr. Sims, 2-Mar-07</t>
  </si>
  <si>
    <t>Confidence Intervals</t>
  </si>
  <si>
    <t>Confidence Levels</t>
  </si>
  <si>
    <t>Z value</t>
  </si>
  <si>
    <t>Z-Value</t>
  </si>
  <si>
    <t>(+/-) Interval</t>
  </si>
  <si>
    <t>2 person</t>
  </si>
  <si>
    <t>Direct (mean)</t>
  </si>
  <si>
    <t>Direct (std dev)</t>
  </si>
  <si>
    <t>Indirect (Mean)</t>
  </si>
  <si>
    <t>Indirect (std dev)</t>
  </si>
  <si>
    <t>1 person</t>
  </si>
  <si>
    <t>Sample size</t>
  </si>
  <si>
    <t xml:space="preserve">Direct Time </t>
  </si>
  <si>
    <t>1 person = 2 person</t>
  </si>
  <si>
    <t>1 person - Indirect Time</t>
  </si>
  <si>
    <t>1 person - Direct Time</t>
  </si>
  <si>
    <t>2 person - Direct Time</t>
  </si>
  <si>
    <t>2 person - Indirect Time</t>
  </si>
  <si>
    <t>*Further data is required before a definitive result can be postulated</t>
  </si>
  <si>
    <t>Confidence Level (%)</t>
  </si>
  <si>
    <t>Anova: Indirect Time</t>
  </si>
  <si>
    <t>Anova: Direct Time</t>
  </si>
  <si>
    <t>Not Identified</t>
  </si>
  <si>
    <t>ANOVA- plant size</t>
  </si>
  <si>
    <t>Analysis of Variances for the plant sizes</t>
  </si>
  <si>
    <t>N60 vs 2lb Grab</t>
  </si>
  <si>
    <t>t-Test comparing the indirect and direct times for N60 vs 2lb Grab</t>
  </si>
  <si>
    <t>Confidences Intervals calculated for Direct and Indirect Inspection Time</t>
  </si>
  <si>
    <t>Time Collectors</t>
  </si>
  <si>
    <t>t-Test comparing 1-person and 2-person collection teams</t>
  </si>
  <si>
    <t>Analysis of Variances for the reporting Districts</t>
  </si>
  <si>
    <t>Connection</t>
  </si>
  <si>
    <t>Analysis of Variances for the types of connections the plants have for PHIS</t>
  </si>
  <si>
    <t>Normal Table</t>
  </si>
  <si>
    <t>Normal Distribution Table for Z-values</t>
  </si>
  <si>
    <t>077-13</t>
  </si>
  <si>
    <t>078-13</t>
  </si>
  <si>
    <t>079-13</t>
  </si>
  <si>
    <t>080-13</t>
  </si>
  <si>
    <t>081-13</t>
  </si>
  <si>
    <t>082-13</t>
  </si>
  <si>
    <t>083-13</t>
  </si>
  <si>
    <t>084-13</t>
  </si>
  <si>
    <t>085-13</t>
  </si>
  <si>
    <t>086-13</t>
  </si>
  <si>
    <t>087-13</t>
  </si>
  <si>
    <t>088-13</t>
  </si>
  <si>
    <t>089-13</t>
  </si>
  <si>
    <t>090-13</t>
  </si>
  <si>
    <t>091-13</t>
  </si>
  <si>
    <t>092-13</t>
  </si>
  <si>
    <t>093-13</t>
  </si>
  <si>
    <t>094-13</t>
  </si>
  <si>
    <t>6 miles, 15 mins</t>
  </si>
  <si>
    <t>90 miles, 105 mins</t>
  </si>
  <si>
    <t>29 miles, 40 mins</t>
  </si>
  <si>
    <t>30 mins</t>
  </si>
  <si>
    <t>3 miles, 10 mins</t>
  </si>
  <si>
    <t>Inspection Measured Area (From Form)</t>
  </si>
  <si>
    <t>EVDO/DSL</t>
  </si>
  <si>
    <t>15 mins</t>
  </si>
  <si>
    <t>1.5 miles, 6.917 mins</t>
  </si>
  <si>
    <t>60 miles, 60 mins</t>
  </si>
  <si>
    <t>095-13</t>
  </si>
  <si>
    <t>096-13</t>
  </si>
  <si>
    <t>097-13</t>
  </si>
  <si>
    <t>098-13</t>
  </si>
  <si>
    <t>099-13</t>
  </si>
  <si>
    <t>100-13</t>
  </si>
  <si>
    <t>101-13</t>
  </si>
  <si>
    <t>102-13</t>
  </si>
  <si>
    <t>103-13</t>
  </si>
  <si>
    <t>104-13</t>
  </si>
  <si>
    <t>105-13</t>
  </si>
  <si>
    <t>106-13</t>
  </si>
  <si>
    <t>107-13</t>
  </si>
  <si>
    <t>Tab</t>
  </si>
  <si>
    <t>Description</t>
  </si>
  <si>
    <t>Sq. Ft (Upper Bound)</t>
  </si>
  <si>
    <t>Number of Plants</t>
  </si>
  <si>
    <t>Percentage</t>
  </si>
  <si>
    <t>User can configure the plant sizes by changing the highlighted cells.  The Plant Analysis and Plant Size Distribution will automactically update.</t>
  </si>
  <si>
    <t>N60  - Direct</t>
  </si>
  <si>
    <t>t-value critical</t>
  </si>
  <si>
    <t>Stop Here.  Additional data requires updates to equations in Table C11</t>
  </si>
  <si>
    <t>* Must be updated if data goes beyond column DQ</t>
  </si>
  <si>
    <t>Results Analysis: 'Accept' indicates the Null Hypothesis is statistically true and the two samples are NOT statistically different</t>
  </si>
  <si>
    <t>Results Analysis: 'Reject' indicates the Null Hypothesis is statistically false and the two samples ARE statistically different</t>
  </si>
  <si>
    <t>Total Population Descriptive Statistics</t>
  </si>
  <si>
    <t>*User can select from Dropdown</t>
  </si>
  <si>
    <t>From Normal Distribution Table</t>
  </si>
  <si>
    <t>Total Time</t>
  </si>
  <si>
    <t>Inspection Time Confidence Intervals</t>
  </si>
  <si>
    <t>*</t>
  </si>
  <si>
    <t>2 person - Direct</t>
  </si>
  <si>
    <t>2 person - Indirect</t>
  </si>
  <si>
    <t>1 person - Direct</t>
  </si>
  <si>
    <t>1 person - Indirect</t>
  </si>
  <si>
    <t>* Must be updated if data goes beyond column DR</t>
  </si>
  <si>
    <t xml:space="preserve">With a p value of &gt; 0.05, there is no statistical correlation between connection type and indirect time. </t>
  </si>
  <si>
    <t>1.g (Connection Type)</t>
  </si>
  <si>
    <t>Data Used in the Analysis</t>
  </si>
  <si>
    <r>
      <rPr>
        <b/>
        <sz val="11"/>
        <color theme="1"/>
        <rFont val="Calibri"/>
        <family val="2"/>
        <scheme val="minor"/>
      </rPr>
      <t>About</t>
    </r>
    <r>
      <rPr>
        <sz val="11"/>
        <color theme="1"/>
        <rFont val="Calibri"/>
        <family val="2"/>
        <scheme val="minor"/>
      </rPr>
      <t xml:space="preserve">:This worksheet displays the results of ANOVA analysis conducted on the types of connection (DSL, EVDO, T1, WiFi).  
</t>
    </r>
    <r>
      <rPr>
        <b/>
        <sz val="11"/>
        <color theme="1"/>
        <rFont val="Calibri"/>
        <family val="2"/>
        <scheme val="minor"/>
      </rPr>
      <t>To update</t>
    </r>
    <r>
      <rPr>
        <sz val="11"/>
        <color theme="1"/>
        <rFont val="Calibri"/>
        <family val="2"/>
        <scheme val="minor"/>
      </rPr>
      <t xml:space="preserve">: The data must be formatted in columns or rows.  Use the Data Analysis Plug in, ANOVA - Single Factor
</t>
    </r>
  </si>
  <si>
    <r>
      <rPr>
        <b/>
        <sz val="11"/>
        <color theme="1"/>
        <rFont val="Calibri"/>
        <family val="2"/>
        <scheme val="minor"/>
      </rPr>
      <t>About:</t>
    </r>
    <r>
      <rPr>
        <sz val="11"/>
        <color theme="1"/>
        <rFont val="Calibri"/>
        <family val="2"/>
        <scheme val="minor"/>
      </rPr>
      <t xml:space="preserve"> This worksheet pulls data from 'Descriptive Stats' Tab to populate the data for analysis of Inspection Time Confidence Intervals with respect to Direct and Indirect Inspection time.  
User can select desired confidence level (90%, 95% , 99%) from dropdown to control the Z value.
</t>
    </r>
    <r>
      <rPr>
        <b/>
        <sz val="11"/>
        <color theme="1"/>
        <rFont val="Calibri"/>
        <family val="2"/>
        <scheme val="minor"/>
      </rPr>
      <t>To update</t>
    </r>
    <r>
      <rPr>
        <sz val="11"/>
        <color theme="1"/>
        <rFont val="Calibri"/>
        <family val="2"/>
        <scheme val="minor"/>
      </rPr>
      <t xml:space="preserve">: Worksheet automatically pulls data from 'Descriptive Stats' Tab, no updates are required.
</t>
    </r>
  </si>
  <si>
    <t>Phone call times to FEDEX: 3 mins (fast days) or 5 mins (slow days)</t>
  </si>
  <si>
    <r>
      <rPr>
        <b/>
        <sz val="11"/>
        <color theme="1"/>
        <rFont val="Calibri"/>
        <family val="2"/>
        <scheme val="minor"/>
      </rPr>
      <t xml:space="preserve">About: </t>
    </r>
    <r>
      <rPr>
        <sz val="11"/>
        <color theme="1"/>
        <rFont val="Calibri"/>
        <family val="2"/>
        <scheme val="minor"/>
      </rPr>
      <t xml:space="preserve">This worksheet pulls data from 'Task Durations' Tab to populate the data for analysis of Total Population Descriptive Statistics.  
</t>
    </r>
    <r>
      <rPr>
        <b/>
        <sz val="11"/>
        <color theme="1"/>
        <rFont val="Calibri"/>
        <family val="2"/>
        <scheme val="minor"/>
      </rPr>
      <t>To update</t>
    </r>
    <r>
      <rPr>
        <sz val="11"/>
        <color theme="1"/>
        <rFont val="Calibri"/>
        <family val="2"/>
        <scheme val="minor"/>
      </rPr>
      <t xml:space="preserve">: copy the right most populated column into empty columns to the right until data fields from the 'Task Durations' Tab is populated.
</t>
    </r>
    <r>
      <rPr>
        <sz val="11"/>
        <rFont val="Calibri"/>
        <family val="2"/>
        <scheme val="minor"/>
      </rPr>
      <t>Using the Analysis Toolpack Add-In, select 'Data' --&gt; 'Data Analysis'.  Once the window is displayed, select Descriptive Statistics. For Input, select B4:B7 through the last column of data. Select Grouped by 'Rows'.  For Ouput select B11.  Finally, select 'Summary Statistics'.  The current data will be overwritten with statistics from the new population.</t>
    </r>
    <r>
      <rPr>
        <sz val="11"/>
        <color theme="1"/>
        <rFont val="Calibri"/>
        <family val="2"/>
        <scheme val="minor"/>
      </rPr>
      <t xml:space="preserve">
</t>
    </r>
  </si>
  <si>
    <t xml:space="preserve"> </t>
  </si>
  <si>
    <r>
      <rPr>
        <b/>
        <sz val="11"/>
        <color theme="1"/>
        <rFont val="Calibri"/>
        <family val="2"/>
        <scheme val="minor"/>
      </rPr>
      <t xml:space="preserve">About: </t>
    </r>
    <r>
      <rPr>
        <sz val="11"/>
        <color theme="1"/>
        <rFont val="Calibri"/>
        <family val="2"/>
        <scheme val="minor"/>
      </rPr>
      <t xml:space="preserve">This worksheet pulls data from 'Data For Analysis' Tab and calculates the duration of each step for each establishment. 
</t>
    </r>
    <r>
      <rPr>
        <b/>
        <sz val="11"/>
        <color theme="1"/>
        <rFont val="Calibri"/>
        <family val="2"/>
        <scheme val="minor"/>
      </rPr>
      <t>To update</t>
    </r>
    <r>
      <rPr>
        <sz val="11"/>
        <color theme="1"/>
        <rFont val="Calibri"/>
        <family val="2"/>
        <scheme val="minor"/>
      </rPr>
      <t xml:space="preserve">: copy the formulas in rows 1 through 39 from the right-most populated column into empty columns to the right until data from all establishments in the 'Task Durations' Tab is included in this tab. 
</t>
    </r>
  </si>
  <si>
    <r>
      <rPr>
        <b/>
        <sz val="11"/>
        <color theme="1"/>
        <rFont val="Calibri"/>
        <family val="2"/>
        <scheme val="minor"/>
      </rPr>
      <t xml:space="preserve">About: </t>
    </r>
    <r>
      <rPr>
        <sz val="11"/>
        <color theme="1"/>
        <rFont val="Calibri"/>
        <family val="2"/>
        <scheme val="minor"/>
      </rPr>
      <t xml:space="preserve">This worksheet pulls data from 'Task Durations' Tab to populate the data for analysis of Indirect vs Direct Time.  This data is graphed, and Excel's built-in features are used to establish a trendline for the data. 
</t>
    </r>
    <r>
      <rPr>
        <b/>
        <sz val="11"/>
        <color theme="1"/>
        <rFont val="Calibri"/>
        <family val="2"/>
        <scheme val="minor"/>
      </rPr>
      <t>To update</t>
    </r>
    <r>
      <rPr>
        <sz val="11"/>
        <color theme="1"/>
        <rFont val="Calibri"/>
        <family val="2"/>
        <scheme val="minor"/>
      </rPr>
      <t xml:space="preserve">: copy the formulas in rows 1 through 39 from the right-most populated column into empty columns to the right until data from all establishments in the 'Task Durations' Tab is included in this tab. 
Right click the graph and choose "Select Data". Edit the data for the Small Plants, Medium Plants, Large Plants and All Plants Legend Entries to include data from all populated columns.  Graph is set up to plot Direct time (row 5) as X Values and Indirect time (row 6) as Y Values. 
Right click a data point in the "All Plants" data set and establish a trendline; choose the option to display the equation for the trendline on the graph.  In format y=mx+b, m is the calculated indirect multiplier.  Note: a relatively flat line shows  no relationship between direct and indirect time, meaning indirect time is constant regardless of direct time. 
</t>
    </r>
  </si>
  <si>
    <r>
      <t xml:space="preserve">P-value &gt; 0.05 means there is </t>
    </r>
    <r>
      <rPr>
        <b/>
        <sz val="11"/>
        <color theme="1"/>
        <rFont val="Calibri"/>
        <family val="2"/>
        <scheme val="minor"/>
      </rPr>
      <t>no correlation between plant size and indirect time</t>
    </r>
    <r>
      <rPr>
        <sz val="11"/>
        <color theme="1"/>
        <rFont val="Calibri"/>
        <family val="2"/>
        <scheme val="minor"/>
      </rPr>
      <t xml:space="preserve">. </t>
    </r>
  </si>
  <si>
    <r>
      <t xml:space="preserve">P-value &gt; 0.05 means there is </t>
    </r>
    <r>
      <rPr>
        <b/>
        <sz val="11"/>
        <color theme="1"/>
        <rFont val="Calibri"/>
        <family val="2"/>
        <scheme val="minor"/>
      </rPr>
      <t>no correlation between plant size and direct time</t>
    </r>
    <r>
      <rPr>
        <sz val="11"/>
        <color theme="1"/>
        <rFont val="Calibri"/>
        <family val="2"/>
        <scheme val="minor"/>
      </rPr>
      <t xml:space="preserve">. </t>
    </r>
  </si>
  <si>
    <r>
      <rPr>
        <b/>
        <sz val="11"/>
        <color theme="1"/>
        <rFont val="Calibri"/>
        <family val="2"/>
        <scheme val="minor"/>
      </rPr>
      <t>About</t>
    </r>
    <r>
      <rPr>
        <sz val="11"/>
        <color theme="1"/>
        <rFont val="Calibri"/>
        <family val="2"/>
        <scheme val="minor"/>
      </rPr>
      <t xml:space="preserve">:This worksheet displays the results of ANOVA analysis conducted on the different Districts.  
</t>
    </r>
    <r>
      <rPr>
        <b/>
        <sz val="11"/>
        <color theme="1"/>
        <rFont val="Calibri"/>
        <family val="2"/>
        <scheme val="minor"/>
      </rPr>
      <t>To update</t>
    </r>
    <r>
      <rPr>
        <sz val="11"/>
        <color theme="1"/>
        <rFont val="Calibri"/>
        <family val="2"/>
        <scheme val="minor"/>
      </rPr>
      <t xml:space="preserve">: The data must be formatted in columns or rows.  Use the Data Analysis Plug in, ANOVA - Single Factor
</t>
    </r>
  </si>
  <si>
    <t xml:space="preserve">With a p value of &lt; 0.05, there IS statistical correlation between Districts and Direct time. </t>
  </si>
  <si>
    <t xml:space="preserve">With a p value of &gt; 0.05, there is no statistical correlation between Districts and Indirect time. </t>
  </si>
  <si>
    <t>Descriptive Statistics for the Total Population</t>
  </si>
  <si>
    <t>Record</t>
  </si>
  <si>
    <t>Reported</t>
  </si>
  <si>
    <r>
      <rPr>
        <b/>
        <sz val="11"/>
        <color theme="1"/>
        <rFont val="Calibri"/>
        <family val="2"/>
        <scheme val="minor"/>
      </rPr>
      <t xml:space="preserve">About: </t>
    </r>
    <r>
      <rPr>
        <sz val="11"/>
        <color theme="1"/>
        <rFont val="Calibri"/>
        <family val="2"/>
        <scheme val="minor"/>
      </rPr>
      <t xml:space="preserve">This worksheet pulls data from 'Raw Data' Tab and prepares that data for use in other tabs. 
</t>
    </r>
    <r>
      <rPr>
        <b/>
        <sz val="11"/>
        <color theme="1"/>
        <rFont val="Calibri"/>
        <family val="2"/>
        <scheme val="minor"/>
      </rPr>
      <t>To update</t>
    </r>
    <r>
      <rPr>
        <sz val="11"/>
        <color theme="1"/>
        <rFont val="Calibri"/>
        <family val="2"/>
        <scheme val="minor"/>
      </rPr>
      <t xml:space="preserve">: Paste in data from "Raw Data" Tab, remove columns that contain unsufficient/unacceptable data.  All cells in rows 10 (2.b.) through 33 (4.k) must contain a number; if blank, populate with contents of previous step or 0 if step is first in a section (e.g., 2.b., 3.b., 4.b.).  A blank cell or "N/A" is acceptable in rows 34 (4.l.1)and 35 (4.l.2). 
Yellow highlighting in a cell indicates that some manipulation of the raw data was needed. </t>
    </r>
  </si>
  <si>
    <t>N=60</t>
  </si>
  <si>
    <t>2-lb Grab</t>
  </si>
  <si>
    <t>Measurement Team Size</t>
  </si>
  <si>
    <t>1-person</t>
  </si>
  <si>
    <t>2-person</t>
  </si>
  <si>
    <r>
      <rPr>
        <b/>
        <sz val="11"/>
        <color theme="1"/>
        <rFont val="Calibri"/>
        <family val="2"/>
        <scheme val="minor"/>
      </rPr>
      <t>About</t>
    </r>
    <r>
      <rPr>
        <sz val="11"/>
        <color theme="1"/>
        <rFont val="Calibri"/>
        <family val="2"/>
        <scheme val="minor"/>
      </rPr>
      <t xml:space="preserve">:This worksheet pulls data from 'Indirect vs Direct' Tab to populate the data for analysis of 1 person vs 2 person data collection teams with respect to Direct and Indirect Inspection time.  
</t>
    </r>
    <r>
      <rPr>
        <b/>
        <sz val="11"/>
        <color theme="1"/>
        <rFont val="Calibri"/>
        <family val="2"/>
        <scheme val="minor"/>
      </rPr>
      <t>To update</t>
    </r>
    <r>
      <rPr>
        <sz val="11"/>
        <color theme="1"/>
        <rFont val="Calibri"/>
        <family val="2"/>
        <scheme val="minor"/>
      </rPr>
      <t xml:space="preserve">: Select the right most column and drag to copy cells.  Ensure data is populated correctly if additional data is entered.  Table C14 must be updated if more that 125 data sheets are used.  Cells D16 and E16 are array functions.  If the function requires update, press Ctrl+Shift+Enter to create an array function with {} on the outside of the function.
</t>
    </r>
  </si>
  <si>
    <t>Plant Analysis - Candidate Plants</t>
  </si>
  <si>
    <t>Plant Analysis - Analyzed Plants</t>
  </si>
  <si>
    <t>Not Reported</t>
  </si>
  <si>
    <t>Lower Limit</t>
  </si>
  <si>
    <t>Upper Limit</t>
  </si>
  <si>
    <t>MT 60 Collection Method</t>
  </si>
  <si>
    <t>Task Duration</t>
  </si>
  <si>
    <r>
      <rPr>
        <b/>
        <sz val="11"/>
        <color theme="1"/>
        <rFont val="Calibri"/>
        <family val="2"/>
        <scheme val="minor"/>
      </rPr>
      <t xml:space="preserve">About: </t>
    </r>
    <r>
      <rPr>
        <sz val="11"/>
        <color theme="1"/>
        <rFont val="Calibri"/>
        <family val="2"/>
        <scheme val="minor"/>
      </rPr>
      <t xml:space="preserve">This worksheet pulls data from 'Task Durations' Tab to populate the data for the Indirect Multiplier and individual Task Duration.  
</t>
    </r>
    <r>
      <rPr>
        <b/>
        <sz val="11"/>
        <color theme="1"/>
        <rFont val="Calibri"/>
        <family val="2"/>
        <scheme val="minor"/>
      </rPr>
      <t>To update</t>
    </r>
    <r>
      <rPr>
        <sz val="11"/>
        <color theme="1"/>
        <rFont val="Calibri"/>
        <family val="2"/>
        <scheme val="minor"/>
      </rPr>
      <t xml:space="preserve">: Copy and paste cell formulas from CL over to fill in updated data.  Update the Indirect Mulitplier Graphic through data selection.  Updat the Task Duration Table by updating each field to include the additional data from the 'Task Duations Tab'
</t>
    </r>
  </si>
  <si>
    <r>
      <rPr>
        <b/>
        <sz val="11"/>
        <color theme="1"/>
        <rFont val="Calibri"/>
        <family val="2"/>
        <scheme val="minor"/>
      </rPr>
      <t>About</t>
    </r>
    <r>
      <rPr>
        <sz val="11"/>
        <color theme="1"/>
        <rFont val="Calibri"/>
        <family val="2"/>
        <scheme val="minor"/>
      </rPr>
      <t xml:space="preserve">:This worksheet displays the results of ANOVA analysis conducted on the size of the plants defined in the 'Constants' Tab.  
</t>
    </r>
    <r>
      <rPr>
        <b/>
        <sz val="11"/>
        <color theme="1"/>
        <rFont val="Calibri"/>
        <family val="2"/>
        <scheme val="minor"/>
      </rPr>
      <t>To update</t>
    </r>
    <r>
      <rPr>
        <sz val="11"/>
        <color theme="1"/>
        <rFont val="Calibri"/>
        <family val="2"/>
        <scheme val="minor"/>
      </rPr>
      <t xml:space="preserve">: The data must be formatted in columns and copied over from 'Indirect vs Direct' Tab.  Use the Data Analysis Plug in, ANOVA - Single Factor
</t>
    </r>
  </si>
  <si>
    <t>Record vs Reported Inspection Area - Same Category?</t>
  </si>
  <si>
    <t xml:space="preserve">Reporting </t>
  </si>
  <si>
    <r>
      <rPr>
        <b/>
        <sz val="11"/>
        <color theme="1"/>
        <rFont val="Calibri"/>
        <family val="2"/>
        <scheme val="minor"/>
      </rPr>
      <t xml:space="preserve">About: </t>
    </r>
    <r>
      <rPr>
        <sz val="11"/>
        <color theme="1"/>
        <rFont val="Calibri"/>
        <family val="2"/>
        <scheme val="minor"/>
      </rPr>
      <t xml:space="preserve">This worksheet allows the user to analyze the current Plant data based on plant size (square feet).  Plant data is automatically populated from the 'Establishments' Tab.
</t>
    </r>
    <r>
      <rPr>
        <b/>
        <sz val="11"/>
        <color theme="1"/>
        <rFont val="Calibri"/>
        <family val="2"/>
        <scheme val="minor"/>
      </rPr>
      <t>To update</t>
    </r>
    <r>
      <rPr>
        <sz val="11"/>
        <color theme="1"/>
        <rFont val="Calibri"/>
        <family val="2"/>
        <scheme val="minor"/>
      </rPr>
      <t>: User can change the plant size (based on sq. ft.) for small, medium, and large categories</t>
    </r>
    <r>
      <rPr>
        <sz val="11"/>
        <rFont val="Calibri"/>
        <family val="2"/>
        <scheme val="minor"/>
      </rPr>
      <t>.</t>
    </r>
    <r>
      <rPr>
        <sz val="11"/>
        <color theme="1"/>
        <rFont val="Calibri"/>
        <family val="2"/>
        <scheme val="minor"/>
      </rPr>
      <t xml:space="preserve">
</t>
    </r>
  </si>
  <si>
    <t>Developed By:
George Mason University
Systems Engineering and Operations Research Department 
Christopher Bang
Amanda Kryway 
Scott Motter
 Karen Tung</t>
  </si>
  <si>
    <r>
      <rPr>
        <b/>
        <u/>
        <sz val="11"/>
        <color theme="1"/>
        <rFont val="Calibri"/>
        <family val="2"/>
        <scheme val="minor"/>
      </rPr>
      <t>NOTE:</t>
    </r>
    <r>
      <rPr>
        <sz val="11"/>
        <color theme="1"/>
        <rFont val="Calibri"/>
        <family val="2"/>
        <scheme val="minor"/>
      </rPr>
      <t xml:space="preserve"> Data Analysis requires the installation of the "Analysis ToolPak".  To install go to FILE-&gt; Options-&gt; Add-Ins-&gt; "Analysis ToolPak VBA" and Select "OK".  The Analysis ToolPak will be available for use under the "DATA" tab within MS Excel.  Typically the ToolPak is displayed to the far right of the toolbar under the Data Tab.</t>
    </r>
  </si>
  <si>
    <r>
      <rPr>
        <b/>
        <sz val="11"/>
        <color theme="1"/>
        <rFont val="Calibri"/>
        <family val="2"/>
        <scheme val="minor"/>
      </rPr>
      <t xml:space="preserve">About: </t>
    </r>
    <r>
      <rPr>
        <sz val="11"/>
        <color theme="1"/>
        <rFont val="Calibri"/>
        <family val="2"/>
        <scheme val="minor"/>
      </rPr>
      <t xml:space="preserve">This worksheet pulls data from 'Task Durations' Tab to populate the data for analysis of N60 vs 2lb grab with respect to Direct and Indirect Inspection time.  
</t>
    </r>
    <r>
      <rPr>
        <b/>
        <sz val="11"/>
        <color theme="1"/>
        <rFont val="Calibri"/>
        <family val="2"/>
        <scheme val="minor"/>
      </rPr>
      <t>To update</t>
    </r>
    <r>
      <rPr>
        <sz val="11"/>
        <color theme="1"/>
        <rFont val="Calibri"/>
        <family val="2"/>
        <scheme val="minor"/>
      </rPr>
      <t xml:space="preserve">: select the right most column and drag to the right until data fields from the 'Task Durations' Tab is populated.
</t>
    </r>
    <r>
      <rPr>
        <sz val="11"/>
        <rFont val="Calibri"/>
        <family val="2"/>
        <scheme val="minor"/>
      </rPr>
      <t>If data population is greater than 125, then updates to the 'C11' cell table must be updated. Update the cells in yellow and replace all 'DQ' with the last column of current data. Std Dev row is an array function.  After update, press SHFT+CTRL+ENTER for array function{}.</t>
    </r>
    <r>
      <rPr>
        <sz val="11"/>
        <color theme="1"/>
        <rFont val="Calibri"/>
        <family val="2"/>
        <scheme val="minor"/>
      </rPr>
      <t xml:space="preserve">
</t>
    </r>
  </si>
  <si>
    <t>SENSITIVE - REMOVED</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</si>
</sst>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0"/>
    <numFmt numFmtId="165" formatCode="_(* #,##0_);_(* \(#,##0\);_(* &quot;-&quot;??_);_(@_)"/>
    <numFmt numFmtId="166" formatCode="0.0000"/>
    <numFmt numFmtId="167" formatCode="m/d/yyyy;@"/>
    <numFmt numFmtId="168" formatCode="h:mm;@"/>
    <numFmt numFmtId="169" formatCode="0.0"/>
  </numFmts>
  <fonts count="28" x14ac:knownFonts="1">
    <font>
      <sz val="11"/>
      <color theme="1"/>
      <name val="Calibri"/>
      <family val="2"/>
      <scheme val="minor"/>
    </font>
    <font>
      <b/>
      <sz val="11"/>
      <color theme="1"/>
      <name val="Calibri"/>
      <family val="2"/>
      <scheme val="minor"/>
    </font>
    <font>
      <i/>
      <sz val="11"/>
      <color theme="1"/>
      <name val="Calibri"/>
      <family val="2"/>
      <scheme val="minor"/>
    </font>
    <font>
      <sz val="9"/>
      <color indexed="81"/>
      <name val="Tahoma"/>
      <family val="2"/>
    </font>
    <font>
      <b/>
      <sz val="9"/>
      <color indexed="81"/>
      <name val="Tahoma"/>
      <family val="2"/>
    </font>
    <font>
      <b/>
      <sz val="11"/>
      <name val="Calibri"/>
      <family val="2"/>
      <scheme val="minor"/>
    </font>
    <font>
      <strike/>
      <sz val="11"/>
      <color theme="1"/>
      <name val="Calibri"/>
      <family val="2"/>
      <scheme val="minor"/>
    </font>
    <font>
      <sz val="11"/>
      <color theme="1"/>
      <name val="Calibri"/>
      <family val="2"/>
      <scheme val="minor"/>
    </font>
    <font>
      <sz val="12"/>
      <color theme="1"/>
      <name val="Calibri"/>
      <family val="2"/>
      <scheme val="minor"/>
    </font>
    <font>
      <sz val="14"/>
      <color theme="1"/>
      <name val="Calibri"/>
      <family val="2"/>
      <scheme val="minor"/>
    </font>
    <font>
      <b/>
      <sz val="12"/>
      <color theme="1"/>
      <name val="Calibri"/>
      <family val="2"/>
      <scheme val="minor"/>
    </font>
    <font>
      <b/>
      <sz val="12"/>
      <name val="Arial"/>
      <family val="2"/>
    </font>
    <font>
      <b/>
      <sz val="14"/>
      <color theme="1"/>
      <name val="Calibri"/>
      <family val="2"/>
      <scheme val="minor"/>
    </font>
    <font>
      <b/>
      <sz val="11"/>
      <color rgb="FF000000"/>
      <name val="Calibri"/>
      <family val="2"/>
    </font>
    <font>
      <sz val="11"/>
      <color rgb="FF000000"/>
      <name val="Calibri"/>
      <family val="2"/>
    </font>
    <font>
      <sz val="10"/>
      <color rgb="FF000000"/>
      <name val="Arial"/>
      <family val="2"/>
    </font>
    <font>
      <b/>
      <i/>
      <sz val="11"/>
      <color theme="1"/>
      <name val="Calibri"/>
      <family val="2"/>
      <scheme val="minor"/>
    </font>
    <font>
      <b/>
      <sz val="11"/>
      <color rgb="FF000000"/>
      <name val="Calibri"/>
      <family val="2"/>
    </font>
    <font>
      <sz val="11"/>
      <color rgb="FF000000"/>
      <name val="Calibri"/>
      <family val="2"/>
    </font>
    <font>
      <b/>
      <sz val="10"/>
      <name val="Arial"/>
      <family val="2"/>
    </font>
    <font>
      <b/>
      <u/>
      <sz val="14"/>
      <color theme="1"/>
      <name val="Calibri"/>
      <family val="2"/>
      <scheme val="minor"/>
    </font>
    <font>
      <b/>
      <sz val="18"/>
      <color theme="1"/>
      <name val="Calibri"/>
      <family val="2"/>
      <scheme val="minor"/>
    </font>
    <font>
      <sz val="11"/>
      <name val="Calibri"/>
      <family val="2"/>
      <scheme val="minor"/>
    </font>
    <font>
      <u/>
      <sz val="11"/>
      <name val="Calibri"/>
      <family val="2"/>
      <scheme val="minor"/>
    </font>
    <font>
      <sz val="9"/>
      <color indexed="81"/>
      <name val="Tahoma"/>
      <charset val="1"/>
    </font>
    <font>
      <b/>
      <sz val="9"/>
      <color indexed="81"/>
      <name val="Tahoma"/>
      <charset val="1"/>
    </font>
    <font>
      <b/>
      <sz val="20"/>
      <color theme="1"/>
      <name val="Calibri"/>
      <family val="2"/>
      <scheme val="minor"/>
    </font>
    <font>
      <b/>
      <u/>
      <sz val="11"/>
      <color theme="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theme="0" tint="-4.9989318521683403E-2"/>
        <bgColor indexed="64"/>
      </patternFill>
    </fill>
    <fill>
      <patternFill patternType="solid">
        <fgColor rgb="FFFF0000"/>
        <bgColor indexed="64"/>
      </patternFill>
    </fill>
    <fill>
      <patternFill patternType="solid">
        <fgColor theme="8" tint="0.79998168889431442"/>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style="medium">
        <color indexed="64"/>
      </top>
      <bottom style="thin">
        <color indexed="64"/>
      </bottom>
      <diagonal/>
    </border>
    <border>
      <left style="thin">
        <color indexed="64"/>
      </left>
      <right/>
      <top style="thin">
        <color indexed="64"/>
      </top>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top style="thin">
        <color indexed="64"/>
      </top>
      <bottom/>
      <diagonal/>
    </border>
  </borders>
  <cellStyleXfs count="2">
    <xf numFmtId="0" fontId="0" fillId="0" borderId="0"/>
    <xf numFmtId="9" fontId="7" fillId="0" borderId="0" applyFont="0" applyFill="0" applyBorder="0" applyAlignment="0" applyProtection="0"/>
  </cellStyleXfs>
  <cellXfs count="436">
    <xf numFmtId="0" fontId="0" fillId="0" borderId="0" xfId="0"/>
    <xf numFmtId="0" fontId="0" fillId="0" borderId="0" xfId="0" applyAlignment="1">
      <alignment horizontal="center"/>
    </xf>
    <xf numFmtId="0" fontId="0" fillId="0" borderId="0" xfId="0" applyFill="1"/>
    <xf numFmtId="0" fontId="0" fillId="0" borderId="0" xfId="0" applyFill="1" applyAlignment="1">
      <alignment horizontal="center"/>
    </xf>
    <xf numFmtId="0" fontId="1" fillId="0" borderId="0" xfId="0" applyFont="1"/>
    <xf numFmtId="14" fontId="0" fillId="0" borderId="0" xfId="0" applyNumberFormat="1" applyAlignment="1">
      <alignment horizontal="center"/>
    </xf>
    <xf numFmtId="0" fontId="1" fillId="0" borderId="0" xfId="0" applyFont="1" applyAlignment="1">
      <alignment horizontal="center" wrapText="1"/>
    </xf>
    <xf numFmtId="0" fontId="0" fillId="0" borderId="0" xfId="0" applyAlignment="1">
      <alignment horizontal="center" wrapText="1"/>
    </xf>
    <xf numFmtId="14" fontId="0" fillId="0" borderId="0" xfId="0" applyNumberFormat="1" applyAlignment="1">
      <alignment horizontal="center" wrapText="1"/>
    </xf>
    <xf numFmtId="2" fontId="0" fillId="0" borderId="0" xfId="0" applyNumberFormat="1"/>
    <xf numFmtId="164" fontId="0" fillId="0" borderId="0" xfId="0" applyNumberFormat="1" applyAlignment="1">
      <alignment horizontal="center"/>
    </xf>
    <xf numFmtId="2" fontId="0" fillId="0" borderId="0" xfId="0" applyNumberFormat="1" applyAlignment="1">
      <alignment horizontal="center"/>
    </xf>
    <xf numFmtId="0" fontId="1" fillId="0" borderId="0" xfId="0" applyFont="1" applyAlignment="1">
      <alignment wrapText="1"/>
    </xf>
    <xf numFmtId="0" fontId="0" fillId="0" borderId="0" xfId="0" applyFont="1" applyAlignment="1">
      <alignment horizontal="center" wrapText="1"/>
    </xf>
    <xf numFmtId="2" fontId="0" fillId="0" borderId="0" xfId="0" applyNumberFormat="1" applyFont="1" applyAlignment="1">
      <alignment wrapText="1"/>
    </xf>
    <xf numFmtId="0" fontId="2" fillId="0" borderId="0" xfId="0" applyFont="1" applyAlignment="1">
      <alignment horizontal="left"/>
    </xf>
    <xf numFmtId="2" fontId="0" fillId="0" borderId="0" xfId="0" applyNumberFormat="1" applyAlignment="1">
      <alignment horizontal="center" wrapText="1"/>
    </xf>
    <xf numFmtId="0" fontId="0" fillId="0" borderId="0" xfId="0" applyBorder="1" applyAlignment="1">
      <alignment horizontal="center"/>
    </xf>
    <xf numFmtId="0" fontId="0" fillId="0" borderId="0" xfId="0" applyFont="1" applyBorder="1" applyAlignment="1">
      <alignment horizontal="center"/>
    </xf>
    <xf numFmtId="0" fontId="0" fillId="0" borderId="0" xfId="0" applyFont="1" applyBorder="1"/>
    <xf numFmtId="0" fontId="0" fillId="0" borderId="0" xfId="0" applyFont="1" applyBorder="1" applyAlignment="1">
      <alignment wrapText="1"/>
    </xf>
    <xf numFmtId="0" fontId="0" fillId="0" borderId="0" xfId="0" applyBorder="1"/>
    <xf numFmtId="0" fontId="6" fillId="0" borderId="0" xfId="0" applyFont="1" applyBorder="1" applyAlignment="1">
      <alignment horizontal="center"/>
    </xf>
    <xf numFmtId="0" fontId="6" fillId="0" borderId="0" xfId="0" applyFont="1" applyBorder="1"/>
    <xf numFmtId="0" fontId="6" fillId="0" borderId="0" xfId="0" applyFont="1" applyBorder="1" applyAlignment="1">
      <alignment wrapText="1"/>
    </xf>
    <xf numFmtId="0" fontId="0" fillId="0" borderId="0" xfId="0" applyBorder="1" applyAlignment="1">
      <alignment wrapText="1"/>
    </xf>
    <xf numFmtId="18" fontId="0" fillId="0" borderId="0" xfId="0" applyNumberFormat="1" applyAlignment="1">
      <alignment horizontal="center"/>
    </xf>
    <xf numFmtId="165" fontId="0" fillId="0" borderId="0" xfId="0" applyNumberFormat="1" applyFont="1" applyAlignment="1">
      <alignment wrapText="1"/>
    </xf>
    <xf numFmtId="2" fontId="0" fillId="0" borderId="0" xfId="0" applyNumberFormat="1" applyFont="1" applyAlignment="1">
      <alignment horizontal="right" wrapText="1"/>
    </xf>
    <xf numFmtId="0" fontId="0" fillId="0" borderId="0" xfId="0" applyAlignment="1">
      <alignment horizontal="right"/>
    </xf>
    <xf numFmtId="0" fontId="0" fillId="0" borderId="0" xfId="0" applyAlignment="1">
      <alignment wrapText="1"/>
    </xf>
    <xf numFmtId="0" fontId="0" fillId="0" borderId="1" xfId="0" applyBorder="1"/>
    <xf numFmtId="0" fontId="0" fillId="4" borderId="0" xfId="0" applyFill="1"/>
    <xf numFmtId="0" fontId="0" fillId="0" borderId="0" xfId="0" applyFill="1" applyBorder="1" applyAlignment="1"/>
    <xf numFmtId="0" fontId="0" fillId="0" borderId="8" xfId="0" applyFill="1" applyBorder="1" applyAlignment="1"/>
    <xf numFmtId="164" fontId="0" fillId="0" borderId="0" xfId="0" applyNumberFormat="1"/>
    <xf numFmtId="0" fontId="1" fillId="0" borderId="10" xfId="0" applyFont="1" applyBorder="1" applyAlignment="1">
      <alignment horizontal="center" wrapText="1"/>
    </xf>
    <xf numFmtId="0" fontId="1" fillId="0" borderId="7" xfId="0" applyFont="1" applyBorder="1" applyAlignment="1">
      <alignment horizontal="center" wrapText="1"/>
    </xf>
    <xf numFmtId="164" fontId="0" fillId="0" borderId="0" xfId="0" applyNumberFormat="1" applyBorder="1" applyAlignment="1">
      <alignment horizontal="center"/>
    </xf>
    <xf numFmtId="164" fontId="0" fillId="0" borderId="0" xfId="0" applyNumberFormat="1" applyBorder="1"/>
    <xf numFmtId="164" fontId="0" fillId="0" borderId="13" xfId="0" applyNumberFormat="1" applyBorder="1" applyAlignment="1">
      <alignment horizontal="center"/>
    </xf>
    <xf numFmtId="0" fontId="0" fillId="0" borderId="14" xfId="0" applyBorder="1" applyAlignment="1">
      <alignment horizontal="center"/>
    </xf>
    <xf numFmtId="164" fontId="0" fillId="0" borderId="8" xfId="0" applyNumberFormat="1" applyBorder="1" applyAlignment="1">
      <alignment horizontal="center"/>
    </xf>
    <xf numFmtId="164" fontId="0" fillId="0" borderId="15" xfId="0" applyNumberFormat="1" applyBorder="1" applyAlignment="1">
      <alignment horizontal="center"/>
    </xf>
    <xf numFmtId="0" fontId="0" fillId="0" borderId="12" xfId="0" applyBorder="1"/>
    <xf numFmtId="0" fontId="0" fillId="0" borderId="13" xfId="0" applyBorder="1"/>
    <xf numFmtId="0" fontId="0" fillId="0" borderId="8" xfId="0" applyBorder="1"/>
    <xf numFmtId="0" fontId="0" fillId="0" borderId="15" xfId="0" applyBorder="1"/>
    <xf numFmtId="0" fontId="11" fillId="0" borderId="0" xfId="0" applyFont="1"/>
    <xf numFmtId="166" fontId="0" fillId="0" borderId="0" xfId="0" applyNumberFormat="1"/>
    <xf numFmtId="0" fontId="0" fillId="0" borderId="3" xfId="0" applyBorder="1" applyAlignment="1">
      <alignment horizontal="center"/>
    </xf>
    <xf numFmtId="164" fontId="0" fillId="0" borderId="3" xfId="0" applyNumberFormat="1" applyBorder="1"/>
    <xf numFmtId="0" fontId="0" fillId="0" borderId="16" xfId="0" applyBorder="1"/>
    <xf numFmtId="0" fontId="0" fillId="0" borderId="18" xfId="0" applyBorder="1"/>
    <xf numFmtId="0" fontId="14" fillId="0" borderId="0" xfId="0" applyFont="1" applyAlignment="1">
      <alignment horizontal="center"/>
    </xf>
    <xf numFmtId="167" fontId="14" fillId="0" borderId="0" xfId="0" applyNumberFormat="1" applyFont="1" applyAlignment="1">
      <alignment horizontal="center"/>
    </xf>
    <xf numFmtId="168" fontId="14" fillId="0" borderId="0" xfId="0" applyNumberFormat="1" applyFont="1" applyAlignment="1">
      <alignment horizontal="center"/>
    </xf>
    <xf numFmtId="18" fontId="14" fillId="0" borderId="0" xfId="0" applyNumberFormat="1" applyFont="1" applyAlignment="1">
      <alignment horizontal="center"/>
    </xf>
    <xf numFmtId="2" fontId="14" fillId="0" borderId="0" xfId="0" applyNumberFormat="1" applyFont="1" applyAlignment="1">
      <alignment horizontal="center"/>
    </xf>
    <xf numFmtId="2" fontId="14" fillId="2" borderId="0" xfId="0" applyNumberFormat="1" applyFont="1" applyFill="1" applyAlignment="1">
      <alignment horizontal="center"/>
    </xf>
    <xf numFmtId="2" fontId="0" fillId="0" borderId="0" xfId="0" applyNumberFormat="1" applyBorder="1" applyAlignment="1">
      <alignment horizontal="center"/>
    </xf>
    <xf numFmtId="0" fontId="0" fillId="0" borderId="1" xfId="0" applyFill="1" applyBorder="1" applyAlignment="1"/>
    <xf numFmtId="0" fontId="12" fillId="0" borderId="14" xfId="0" applyFont="1" applyBorder="1"/>
    <xf numFmtId="0" fontId="12" fillId="0" borderId="8" xfId="0" applyFont="1" applyBorder="1"/>
    <xf numFmtId="0" fontId="0" fillId="0" borderId="16" xfId="0" applyFill="1" applyBorder="1" applyAlignment="1"/>
    <xf numFmtId="0" fontId="16" fillId="0" borderId="12" xfId="0" applyFont="1" applyBorder="1"/>
    <xf numFmtId="0" fontId="0" fillId="0" borderId="0" xfId="0" applyBorder="1" applyAlignment="1">
      <alignment horizontal="center"/>
    </xf>
    <xf numFmtId="0" fontId="0" fillId="0" borderId="14" xfId="0" applyBorder="1"/>
    <xf numFmtId="0" fontId="1" fillId="0" borderId="10"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11" xfId="0" applyFont="1" applyBorder="1" applyAlignment="1">
      <alignment vertical="center" wrapText="1"/>
    </xf>
    <xf numFmtId="0" fontId="17" fillId="0" borderId="0" xfId="0" applyFont="1" applyAlignment="1">
      <alignment horizontal="center"/>
    </xf>
    <xf numFmtId="0" fontId="18" fillId="0" borderId="0" xfId="0" applyFont="1" applyAlignment="1">
      <alignment horizontal="center"/>
    </xf>
    <xf numFmtId="167" fontId="18" fillId="0" borderId="0" xfId="0" applyNumberFormat="1" applyFont="1" applyAlignment="1">
      <alignment horizontal="center"/>
    </xf>
    <xf numFmtId="18" fontId="18" fillId="0" borderId="0" xfId="0" applyNumberFormat="1" applyFont="1" applyAlignment="1">
      <alignment horizontal="center"/>
    </xf>
    <xf numFmtId="168" fontId="18" fillId="0" borderId="0" xfId="0" applyNumberFormat="1" applyFont="1" applyAlignment="1">
      <alignment horizontal="center"/>
    </xf>
    <xf numFmtId="0" fontId="18" fillId="2" borderId="0" xfId="0" applyFont="1" applyFill="1" applyAlignment="1">
      <alignment horizontal="center"/>
    </xf>
    <xf numFmtId="2" fontId="18" fillId="0" borderId="0" xfId="0" applyNumberFormat="1" applyFont="1" applyAlignment="1">
      <alignment horizontal="center"/>
    </xf>
    <xf numFmtId="0" fontId="18" fillId="0" borderId="0" xfId="0" applyFont="1"/>
    <xf numFmtId="14" fontId="0" fillId="0" borderId="0" xfId="0" applyNumberFormat="1"/>
    <xf numFmtId="18" fontId="0" fillId="0" borderId="0" xfId="0" applyNumberFormat="1"/>
    <xf numFmtId="20" fontId="0" fillId="0" borderId="0" xfId="0" applyNumberFormat="1"/>
    <xf numFmtId="0" fontId="0" fillId="0" borderId="0" xfId="0" quotePrefix="1" applyFill="1" applyAlignment="1">
      <alignment horizontal="center" wrapText="1"/>
    </xf>
    <xf numFmtId="0" fontId="0" fillId="0" borderId="0" xfId="0" applyFill="1" applyAlignment="1">
      <alignment horizontal="center" wrapText="1"/>
    </xf>
    <xf numFmtId="0" fontId="14" fillId="0" borderId="0" xfId="0" applyFont="1" applyAlignment="1">
      <alignment horizontal="center" wrapText="1"/>
    </xf>
    <xf numFmtId="0" fontId="18" fillId="0" borderId="0" xfId="0" applyFont="1" applyAlignment="1">
      <alignment horizontal="center" wrapText="1"/>
    </xf>
    <xf numFmtId="0" fontId="0" fillId="0" borderId="0" xfId="0" applyFill="1" applyAlignment="1">
      <alignment wrapText="1"/>
    </xf>
    <xf numFmtId="169" fontId="1" fillId="0" borderId="0" xfId="0" applyNumberFormat="1" applyFont="1" applyAlignment="1">
      <alignment horizontal="center"/>
    </xf>
    <xf numFmtId="169" fontId="1" fillId="0" borderId="0" xfId="0" applyNumberFormat="1" applyFont="1" applyAlignment="1">
      <alignment horizontal="center" wrapText="1"/>
    </xf>
    <xf numFmtId="169" fontId="13" fillId="0" borderId="0" xfId="0" applyNumberFormat="1" applyFont="1" applyAlignment="1">
      <alignment horizontal="center"/>
    </xf>
    <xf numFmtId="169" fontId="17" fillId="0" borderId="0" xfId="0" applyNumberFormat="1" applyFont="1" applyAlignment="1">
      <alignment horizontal="center"/>
    </xf>
    <xf numFmtId="169" fontId="0" fillId="0" borderId="0" xfId="0" quotePrefix="1" applyNumberFormat="1" applyFill="1" applyAlignment="1">
      <alignment horizontal="center" wrapText="1"/>
    </xf>
    <xf numFmtId="169" fontId="0" fillId="0" borderId="0" xfId="0" applyNumberFormat="1" applyFill="1" applyAlignment="1">
      <alignment horizontal="center" wrapText="1"/>
    </xf>
    <xf numFmtId="169" fontId="14" fillId="0" borderId="0" xfId="0" applyNumberFormat="1" applyFont="1" applyAlignment="1">
      <alignment horizontal="center" wrapText="1"/>
    </xf>
    <xf numFmtId="169" fontId="18" fillId="0" borderId="0" xfId="0" applyNumberFormat="1" applyFont="1" applyAlignment="1">
      <alignment horizontal="center" wrapText="1"/>
    </xf>
    <xf numFmtId="169" fontId="0" fillId="0" borderId="0" xfId="0" applyNumberFormat="1" applyAlignment="1">
      <alignment wrapText="1"/>
    </xf>
    <xf numFmtId="169" fontId="0" fillId="0" borderId="0" xfId="0" applyNumberFormat="1" applyAlignment="1">
      <alignment horizontal="center" wrapText="1"/>
    </xf>
    <xf numFmtId="169" fontId="0" fillId="0" borderId="0" xfId="0" applyNumberFormat="1"/>
    <xf numFmtId="169" fontId="0" fillId="0" borderId="0" xfId="0" applyNumberFormat="1" applyAlignment="1">
      <alignment horizontal="center"/>
    </xf>
    <xf numFmtId="169" fontId="0" fillId="0" borderId="0" xfId="0" applyNumberFormat="1" applyFill="1" applyAlignment="1">
      <alignment horizontal="center"/>
    </xf>
    <xf numFmtId="169" fontId="14" fillId="0" borderId="0" xfId="0" applyNumberFormat="1" applyFont="1" applyAlignment="1">
      <alignment horizontal="center"/>
    </xf>
    <xf numFmtId="169" fontId="18" fillId="0" borderId="0" xfId="0" applyNumberFormat="1" applyFont="1" applyAlignment="1">
      <alignment horizontal="center"/>
    </xf>
    <xf numFmtId="169" fontId="18" fillId="2" borderId="0" xfId="0" applyNumberFormat="1" applyFont="1" applyFill="1" applyAlignment="1">
      <alignment horizontal="center"/>
    </xf>
    <xf numFmtId="169" fontId="0" fillId="2" borderId="0" xfId="0" applyNumberFormat="1" applyFill="1" applyAlignment="1">
      <alignment horizontal="center"/>
    </xf>
    <xf numFmtId="169" fontId="0" fillId="2" borderId="0" xfId="0" applyNumberFormat="1" applyFill="1"/>
    <xf numFmtId="169" fontId="14" fillId="2" borderId="0" xfId="0" applyNumberFormat="1" applyFont="1" applyFill="1" applyAlignment="1">
      <alignment horizontal="center"/>
    </xf>
    <xf numFmtId="169" fontId="0" fillId="0" borderId="0" xfId="0" applyNumberFormat="1" applyAlignment="1">
      <alignment horizontal="left" wrapText="1"/>
    </xf>
    <xf numFmtId="0" fontId="0" fillId="0" borderId="12" xfId="0" applyBorder="1" applyAlignment="1">
      <alignment horizontal="center"/>
    </xf>
    <xf numFmtId="0" fontId="0" fillId="0" borderId="0" xfId="0" applyBorder="1" applyAlignment="1">
      <alignment horizontal="center"/>
    </xf>
    <xf numFmtId="0" fontId="0" fillId="2" borderId="0" xfId="0" applyFill="1"/>
    <xf numFmtId="0" fontId="0" fillId="2" borderId="0" xfId="0" applyFont="1" applyFill="1" applyBorder="1" applyAlignment="1">
      <alignment horizontal="center"/>
    </xf>
    <xf numFmtId="0" fontId="0" fillId="2" borderId="0" xfId="0" applyFont="1" applyFill="1" applyBorder="1"/>
    <xf numFmtId="0" fontId="0" fillId="2" borderId="0" xfId="0" applyFont="1" applyFill="1" applyBorder="1" applyAlignment="1">
      <alignment wrapText="1"/>
    </xf>
    <xf numFmtId="0" fontId="0" fillId="0" borderId="29" xfId="0" applyBorder="1"/>
    <xf numFmtId="0" fontId="0" fillId="0" borderId="0" xfId="0" applyBorder="1" applyAlignment="1">
      <alignment horizontal="right"/>
    </xf>
    <xf numFmtId="0" fontId="0" fillId="0" borderId="32" xfId="0" applyFill="1" applyBorder="1" applyAlignment="1">
      <alignment horizontal="right"/>
    </xf>
    <xf numFmtId="0" fontId="0" fillId="0" borderId="0" xfId="0" applyFill="1" applyBorder="1" applyAlignment="1">
      <alignment horizontal="right"/>
    </xf>
    <xf numFmtId="0" fontId="0" fillId="0" borderId="18" xfId="0" applyBorder="1" applyAlignment="1">
      <alignment horizontal="center"/>
    </xf>
    <xf numFmtId="0" fontId="0" fillId="0" borderId="19" xfId="0" applyBorder="1" applyAlignment="1">
      <alignment horizontal="center"/>
    </xf>
    <xf numFmtId="0" fontId="0" fillId="0" borderId="20" xfId="0" applyBorder="1" applyAlignment="1">
      <alignment horizontal="center"/>
    </xf>
    <xf numFmtId="0" fontId="0" fillId="5" borderId="29" xfId="0" applyFill="1" applyBorder="1" applyAlignment="1">
      <alignment horizontal="center"/>
    </xf>
    <xf numFmtId="0" fontId="0" fillId="5" borderId="30" xfId="0" applyFill="1" applyBorder="1" applyAlignment="1">
      <alignment horizontal="center"/>
    </xf>
    <xf numFmtId="0" fontId="0" fillId="5" borderId="31" xfId="0" applyFill="1" applyBorder="1" applyAlignment="1">
      <alignment horizontal="center"/>
    </xf>
    <xf numFmtId="169" fontId="0" fillId="0" borderId="1" xfId="0" applyNumberFormat="1" applyFill="1" applyBorder="1" applyAlignment="1"/>
    <xf numFmtId="169" fontId="0" fillId="0" borderId="1" xfId="0" applyNumberFormat="1" applyBorder="1"/>
    <xf numFmtId="169" fontId="0" fillId="0" borderId="17" xfId="0" applyNumberFormat="1" applyFill="1" applyBorder="1" applyAlignment="1"/>
    <xf numFmtId="169" fontId="0" fillId="0" borderId="17" xfId="0" applyNumberFormat="1" applyBorder="1"/>
    <xf numFmtId="0" fontId="1" fillId="0" borderId="34" xfId="0" applyFont="1" applyBorder="1"/>
    <xf numFmtId="0" fontId="19" fillId="0" borderId="0" xfId="0" applyFont="1" applyAlignment="1">
      <alignment horizontal="center"/>
    </xf>
    <xf numFmtId="2" fontId="19" fillId="0" borderId="0" xfId="0" applyNumberFormat="1" applyFont="1"/>
    <xf numFmtId="0" fontId="19" fillId="0" borderId="0" xfId="0" applyFont="1"/>
    <xf numFmtId="0" fontId="0" fillId="6" borderId="0" xfId="0" applyFill="1"/>
    <xf numFmtId="169" fontId="19" fillId="0" borderId="0" xfId="0" applyNumberFormat="1" applyFont="1"/>
    <xf numFmtId="169" fontId="19" fillId="0" borderId="0" xfId="0" applyNumberFormat="1" applyFont="1" applyAlignment="1">
      <alignment horizontal="center"/>
    </xf>
    <xf numFmtId="0" fontId="19" fillId="0" borderId="3" xfId="0" applyFont="1" applyBorder="1"/>
    <xf numFmtId="166" fontId="0" fillId="0" borderId="3" xfId="0" applyNumberFormat="1" applyBorder="1"/>
    <xf numFmtId="0" fontId="19" fillId="0" borderId="3" xfId="0" applyFont="1" applyBorder="1" applyAlignment="1">
      <alignment horizontal="center"/>
    </xf>
    <xf numFmtId="169" fontId="0" fillId="0" borderId="16" xfId="0" applyNumberFormat="1" applyBorder="1"/>
    <xf numFmtId="169" fontId="0" fillId="0" borderId="18" xfId="0" applyNumberFormat="1" applyBorder="1"/>
    <xf numFmtId="169" fontId="0" fillId="0" borderId="19" xfId="0" applyNumberFormat="1" applyBorder="1"/>
    <xf numFmtId="169" fontId="0" fillId="0" borderId="20" xfId="0" applyNumberFormat="1" applyBorder="1"/>
    <xf numFmtId="169" fontId="0" fillId="0" borderId="0" xfId="0" applyNumberFormat="1" applyBorder="1"/>
    <xf numFmtId="169" fontId="0" fillId="0" borderId="13" xfId="0" applyNumberFormat="1" applyBorder="1"/>
    <xf numFmtId="169" fontId="0" fillId="0" borderId="8" xfId="0" applyNumberFormat="1" applyBorder="1"/>
    <xf numFmtId="169" fontId="0" fillId="0" borderId="15" xfId="0" applyNumberFormat="1" applyBorder="1"/>
    <xf numFmtId="0" fontId="1" fillId="0" borderId="16" xfId="0" applyFont="1" applyBorder="1"/>
    <xf numFmtId="0" fontId="1" fillId="0" borderId="18" xfId="0" applyFont="1" applyBorder="1"/>
    <xf numFmtId="0" fontId="0" fillId="0" borderId="40" xfId="0" applyBorder="1"/>
    <xf numFmtId="169" fontId="0" fillId="0" borderId="29" xfId="0" applyNumberFormat="1" applyBorder="1"/>
    <xf numFmtId="169" fontId="0" fillId="0" borderId="30" xfId="0" applyNumberFormat="1" applyBorder="1"/>
    <xf numFmtId="169" fontId="0" fillId="0" borderId="31" xfId="0" applyNumberFormat="1" applyBorder="1"/>
    <xf numFmtId="169" fontId="0" fillId="7" borderId="20" xfId="0" applyNumberFormat="1" applyFill="1" applyBorder="1"/>
    <xf numFmtId="169" fontId="16" fillId="0" borderId="12" xfId="0" applyNumberFormat="1" applyFont="1" applyBorder="1"/>
    <xf numFmtId="169" fontId="1" fillId="0" borderId="34" xfId="0" applyNumberFormat="1" applyFont="1" applyBorder="1"/>
    <xf numFmtId="169" fontId="0" fillId="0" borderId="12" xfId="0" applyNumberFormat="1" applyBorder="1"/>
    <xf numFmtId="169" fontId="0" fillId="0" borderId="16" xfId="0" applyNumberFormat="1" applyFill="1" applyBorder="1" applyAlignment="1"/>
    <xf numFmtId="169" fontId="12" fillId="0" borderId="14" xfId="0" applyNumberFormat="1" applyFont="1" applyBorder="1"/>
    <xf numFmtId="169" fontId="12" fillId="0" borderId="8" xfId="0" applyNumberFormat="1" applyFont="1" applyBorder="1"/>
    <xf numFmtId="164" fontId="0" fillId="0" borderId="12" xfId="0" applyNumberFormat="1" applyBorder="1"/>
    <xf numFmtId="164" fontId="0" fillId="0" borderId="13" xfId="0" applyNumberFormat="1" applyBorder="1"/>
    <xf numFmtId="0" fontId="1" fillId="0" borderId="11" xfId="0" applyFont="1" applyBorder="1" applyAlignment="1">
      <alignment horizontal="center" wrapText="1"/>
    </xf>
    <xf numFmtId="9" fontId="0" fillId="0" borderId="0" xfId="1" applyFont="1" applyBorder="1"/>
    <xf numFmtId="1" fontId="0" fillId="0" borderId="0" xfId="0" applyNumberFormat="1" applyAlignment="1">
      <alignment horizontal="left" indent="2"/>
    </xf>
    <xf numFmtId="0" fontId="0" fillId="0" borderId="41" xfId="0" applyBorder="1"/>
    <xf numFmtId="169" fontId="0" fillId="0" borderId="0" xfId="0" applyNumberFormat="1" applyAlignment="1">
      <alignment horizontal="left"/>
    </xf>
    <xf numFmtId="49" fontId="0" fillId="0" borderId="0" xfId="0" applyNumberFormat="1"/>
    <xf numFmtId="0" fontId="0" fillId="2" borderId="0" xfId="0" applyFill="1" applyBorder="1" applyAlignment="1">
      <alignment horizontal="center" wrapText="1"/>
    </xf>
    <xf numFmtId="20" fontId="0" fillId="0" borderId="0" xfId="0" applyNumberFormat="1" applyAlignment="1">
      <alignment wrapText="1"/>
    </xf>
    <xf numFmtId="0" fontId="13" fillId="0" borderId="0" xfId="0" applyFont="1" applyAlignment="1">
      <alignment horizontal="center"/>
    </xf>
    <xf numFmtId="0" fontId="20" fillId="4" borderId="0" xfId="0" applyFont="1" applyFill="1"/>
    <xf numFmtId="0" fontId="20" fillId="0" borderId="10" xfId="0" applyFont="1" applyBorder="1" applyAlignment="1">
      <alignment horizontal="center"/>
    </xf>
    <xf numFmtId="0" fontId="20" fillId="0" borderId="0" xfId="0" applyFont="1"/>
    <xf numFmtId="0" fontId="0" fillId="2" borderId="0" xfId="0" applyFill="1" applyBorder="1" applyAlignment="1">
      <alignment horizontal="center"/>
    </xf>
    <xf numFmtId="9" fontId="0" fillId="0" borderId="0" xfId="1" applyFont="1" applyFill="1" applyBorder="1"/>
    <xf numFmtId="0" fontId="0" fillId="0" borderId="19" xfId="0" applyBorder="1"/>
    <xf numFmtId="0" fontId="0" fillId="0" borderId="1" xfId="0" applyBorder="1" applyAlignment="1">
      <alignment horizontal="center" vertical="center"/>
    </xf>
    <xf numFmtId="0" fontId="0" fillId="0" borderId="0" xfId="0" applyAlignment="1">
      <alignment horizontal="center" vertical="center"/>
    </xf>
    <xf numFmtId="9" fontId="0" fillId="0" borderId="1" xfId="1" applyFont="1" applyBorder="1" applyAlignment="1">
      <alignment horizontal="center" vertical="center"/>
    </xf>
    <xf numFmtId="0" fontId="0" fillId="0" borderId="19" xfId="0" applyBorder="1" applyAlignment="1">
      <alignment horizontal="center" vertical="center"/>
    </xf>
    <xf numFmtId="9" fontId="0" fillId="0" borderId="19" xfId="0" applyNumberFormat="1" applyBorder="1" applyAlignment="1">
      <alignment horizontal="center" vertical="center"/>
    </xf>
    <xf numFmtId="0" fontId="0" fillId="0" borderId="16" xfId="0" applyBorder="1" applyAlignment="1">
      <alignment horizontal="right"/>
    </xf>
    <xf numFmtId="0" fontId="0" fillId="0" borderId="18" xfId="0" applyBorder="1" applyAlignment="1">
      <alignment horizontal="right"/>
    </xf>
    <xf numFmtId="0" fontId="0" fillId="0" borderId="19" xfId="0" applyBorder="1" applyAlignment="1">
      <alignment horizontal="right"/>
    </xf>
    <xf numFmtId="0" fontId="0" fillId="0" borderId="25" xfId="0" applyBorder="1"/>
    <xf numFmtId="0" fontId="0" fillId="2" borderId="45" xfId="0" applyFill="1" applyBorder="1"/>
    <xf numFmtId="0" fontId="0" fillId="2" borderId="46" xfId="0" applyFill="1" applyBorder="1"/>
    <xf numFmtId="0" fontId="0" fillId="2" borderId="47" xfId="0" applyFill="1" applyBorder="1"/>
    <xf numFmtId="0" fontId="0" fillId="0" borderId="43" xfId="0" applyBorder="1" applyAlignment="1">
      <alignment horizontal="center"/>
    </xf>
    <xf numFmtId="0" fontId="0" fillId="0" borderId="44" xfId="0" applyBorder="1" applyAlignment="1">
      <alignment horizontal="center"/>
    </xf>
    <xf numFmtId="0" fontId="0" fillId="5" borderId="16" xfId="0" applyFill="1" applyBorder="1" applyAlignment="1">
      <alignment horizontal="center" vertical="center"/>
    </xf>
    <xf numFmtId="169" fontId="0" fillId="0" borderId="30" xfId="0" applyNumberFormat="1" applyBorder="1" applyAlignment="1">
      <alignment wrapText="1"/>
    </xf>
    <xf numFmtId="169" fontId="0" fillId="0" borderId="31" xfId="0" applyNumberFormat="1" applyBorder="1" applyAlignment="1">
      <alignment wrapText="1"/>
    </xf>
    <xf numFmtId="0" fontId="16" fillId="0" borderId="0" xfId="0" applyFont="1" applyBorder="1"/>
    <xf numFmtId="0" fontId="0" fillId="0" borderId="28" xfId="0" applyFill="1" applyBorder="1" applyAlignment="1"/>
    <xf numFmtId="169" fontId="0" fillId="2" borderId="1" xfId="0" applyNumberFormat="1" applyFill="1" applyBorder="1"/>
    <xf numFmtId="169" fontId="0" fillId="2" borderId="17" xfId="0" applyNumberFormat="1" applyFill="1" applyBorder="1"/>
    <xf numFmtId="169" fontId="0" fillId="2" borderId="19" xfId="0" applyNumberFormat="1" applyFill="1" applyBorder="1"/>
    <xf numFmtId="169" fontId="0" fillId="2" borderId="20" xfId="0" applyNumberFormat="1" applyFill="1" applyBorder="1"/>
    <xf numFmtId="1" fontId="0" fillId="0" borderId="0" xfId="0" applyNumberFormat="1"/>
    <xf numFmtId="1" fontId="0" fillId="0" borderId="0" xfId="0" applyNumberFormat="1" applyAlignment="1">
      <alignment horizontal="center"/>
    </xf>
    <xf numFmtId="1" fontId="0" fillId="0" borderId="0" xfId="0" applyNumberFormat="1" applyFont="1" applyAlignment="1">
      <alignment wrapText="1"/>
    </xf>
    <xf numFmtId="169" fontId="0" fillId="0" borderId="0" xfId="0" applyNumberFormat="1" applyAlignment="1">
      <alignment horizontal="right"/>
    </xf>
    <xf numFmtId="0" fontId="22" fillId="0" borderId="0" xfId="0" applyFont="1"/>
    <xf numFmtId="0" fontId="22" fillId="0" borderId="0" xfId="0" applyFont="1" applyAlignment="1">
      <alignment horizontal="center"/>
    </xf>
    <xf numFmtId="1" fontId="22" fillId="0" borderId="16" xfId="1" applyNumberFormat="1" applyFont="1" applyBorder="1"/>
    <xf numFmtId="2" fontId="22" fillId="0" borderId="17" xfId="0" applyNumberFormat="1" applyFont="1" applyBorder="1"/>
    <xf numFmtId="1" fontId="22" fillId="0" borderId="18" xfId="1" applyNumberFormat="1" applyFont="1" applyBorder="1"/>
    <xf numFmtId="2" fontId="22" fillId="0" borderId="20" xfId="0" applyNumberFormat="1" applyFont="1" applyBorder="1"/>
    <xf numFmtId="0" fontId="1" fillId="0" borderId="51" xfId="0" applyFont="1" applyFill="1" applyBorder="1"/>
    <xf numFmtId="0" fontId="0" fillId="2" borderId="30" xfId="0" applyFill="1" applyBorder="1"/>
    <xf numFmtId="0" fontId="0" fillId="0" borderId="30" xfId="0" applyBorder="1"/>
    <xf numFmtId="0" fontId="0" fillId="0" borderId="31" xfId="0" applyBorder="1"/>
    <xf numFmtId="0" fontId="0" fillId="0" borderId="7" xfId="0" applyFill="1" applyBorder="1" applyAlignment="1">
      <alignment vertical="top" wrapText="1"/>
    </xf>
    <xf numFmtId="0" fontId="0" fillId="0" borderId="0" xfId="0" applyFill="1" applyBorder="1" applyAlignment="1">
      <alignment vertical="top" wrapText="1"/>
    </xf>
    <xf numFmtId="0" fontId="0" fillId="0" borderId="10" xfId="0" applyFill="1" applyBorder="1" applyAlignment="1">
      <alignment vertical="top" wrapText="1"/>
    </xf>
    <xf numFmtId="2" fontId="1" fillId="0" borderId="0" xfId="0" applyNumberFormat="1" applyFont="1" applyAlignment="1">
      <alignment horizontal="center" wrapText="1"/>
    </xf>
    <xf numFmtId="0" fontId="0" fillId="0" borderId="4" xfId="0" applyBorder="1"/>
    <xf numFmtId="0" fontId="0" fillId="0" borderId="5" xfId="0" applyBorder="1"/>
    <xf numFmtId="0" fontId="0" fillId="0" borderId="6" xfId="0" applyBorder="1"/>
    <xf numFmtId="2" fontId="1" fillId="0" borderId="7" xfId="0" applyNumberFormat="1" applyFont="1" applyBorder="1" applyAlignment="1">
      <alignment horizontal="center" wrapText="1"/>
    </xf>
    <xf numFmtId="2" fontId="1" fillId="0" borderId="11" xfId="0" applyNumberFormat="1" applyFont="1" applyBorder="1" applyAlignment="1">
      <alignment horizontal="center" wrapText="1"/>
    </xf>
    <xf numFmtId="2" fontId="0" fillId="0" borderId="0" xfId="0" applyNumberFormat="1" applyBorder="1"/>
    <xf numFmtId="2" fontId="0" fillId="0" borderId="13" xfId="0" applyNumberFormat="1" applyBorder="1"/>
    <xf numFmtId="2" fontId="0" fillId="0" borderId="8" xfId="0" applyNumberFormat="1" applyBorder="1"/>
    <xf numFmtId="2" fontId="0" fillId="0" borderId="15" xfId="0" applyNumberFormat="1" applyBorder="1"/>
    <xf numFmtId="0" fontId="1" fillId="0" borderId="49" xfId="0" applyFont="1" applyBorder="1" applyAlignment="1">
      <alignment horizontal="center" wrapText="1"/>
    </xf>
    <xf numFmtId="0" fontId="0" fillId="0" borderId="50" xfId="0" applyBorder="1"/>
    <xf numFmtId="0" fontId="0" fillId="0" borderId="34" xfId="0" applyBorder="1"/>
    <xf numFmtId="0" fontId="0" fillId="0" borderId="7" xfId="0" applyBorder="1"/>
    <xf numFmtId="0" fontId="0" fillId="0" borderId="11" xfId="0" applyBorder="1"/>
    <xf numFmtId="0" fontId="2" fillId="0" borderId="42" xfId="0" applyFont="1" applyFill="1" applyBorder="1" applyAlignment="1">
      <alignment horizontal="center"/>
    </xf>
    <xf numFmtId="0" fontId="0" fillId="0" borderId="12" xfId="0" applyFill="1" applyBorder="1" applyAlignment="1"/>
    <xf numFmtId="0" fontId="0" fillId="0" borderId="14" xfId="0" applyFill="1" applyBorder="1" applyAlignment="1"/>
    <xf numFmtId="0" fontId="2" fillId="0" borderId="55" xfId="0" applyFont="1" applyFill="1" applyBorder="1" applyAlignment="1">
      <alignment horizontal="center"/>
    </xf>
    <xf numFmtId="0" fontId="0" fillId="0" borderId="13" xfId="0" applyFill="1" applyBorder="1" applyAlignment="1"/>
    <xf numFmtId="0" fontId="0" fillId="0" borderId="15" xfId="0" applyFill="1" applyBorder="1" applyAlignment="1"/>
    <xf numFmtId="0" fontId="2" fillId="0" borderId="7" xfId="0" applyFont="1" applyFill="1" applyBorder="1" applyAlignment="1">
      <alignment horizontal="center"/>
    </xf>
    <xf numFmtId="0" fontId="2" fillId="0" borderId="0" xfId="0" applyFont="1" applyAlignment="1">
      <alignment wrapText="1"/>
    </xf>
    <xf numFmtId="0" fontId="2" fillId="0" borderId="9" xfId="0" applyFont="1" applyFill="1" applyBorder="1" applyAlignment="1">
      <alignment horizontal="center"/>
    </xf>
    <xf numFmtId="0" fontId="0" fillId="0" borderId="0" xfId="0" applyFont="1" applyFill="1" applyBorder="1" applyAlignment="1">
      <alignment horizontal="center"/>
    </xf>
    <xf numFmtId="0" fontId="0" fillId="0" borderId="1" xfId="0" applyBorder="1" applyAlignment="1">
      <alignment horizontal="center" wrapText="1"/>
    </xf>
    <xf numFmtId="2" fontId="0" fillId="0" borderId="1" xfId="0" applyNumberFormat="1" applyBorder="1"/>
    <xf numFmtId="2" fontId="2" fillId="0" borderId="9" xfId="0" applyNumberFormat="1" applyFont="1" applyFill="1" applyBorder="1" applyAlignment="1">
      <alignment horizontal="center"/>
    </xf>
    <xf numFmtId="2" fontId="0" fillId="0" borderId="0" xfId="0" applyNumberFormat="1" applyFill="1" applyBorder="1" applyAlignment="1"/>
    <xf numFmtId="2" fontId="0" fillId="0" borderId="8" xfId="0" applyNumberFormat="1" applyFill="1" applyBorder="1" applyAlignment="1"/>
    <xf numFmtId="1" fontId="0" fillId="0" borderId="12" xfId="0" applyNumberFormat="1" applyBorder="1" applyAlignment="1">
      <alignment horizontal="left" indent="2"/>
    </xf>
    <xf numFmtId="1" fontId="0" fillId="0" borderId="0" xfId="0" applyNumberFormat="1" applyBorder="1" applyAlignment="1">
      <alignment horizontal="left" indent="2"/>
    </xf>
    <xf numFmtId="1" fontId="0" fillId="0" borderId="13" xfId="0" applyNumberFormat="1" applyBorder="1" applyAlignment="1">
      <alignment horizontal="left" indent="2"/>
    </xf>
    <xf numFmtId="0" fontId="1" fillId="0" borderId="24" xfId="0" applyFont="1" applyBorder="1"/>
    <xf numFmtId="169" fontId="0" fillId="0" borderId="0" xfId="0" applyNumberFormat="1" applyFill="1" applyBorder="1" applyAlignment="1"/>
    <xf numFmtId="169" fontId="0" fillId="0" borderId="8" xfId="0" applyNumberFormat="1" applyFill="1" applyBorder="1" applyAlignment="1"/>
    <xf numFmtId="0" fontId="0" fillId="0" borderId="17" xfId="0" applyBorder="1" applyAlignment="1">
      <alignment horizontal="center" vertical="center"/>
    </xf>
    <xf numFmtId="9" fontId="0" fillId="0" borderId="17" xfId="1" applyFont="1" applyBorder="1" applyAlignment="1">
      <alignment horizontal="center" vertical="center"/>
    </xf>
    <xf numFmtId="9" fontId="0" fillId="0" borderId="20" xfId="0" applyNumberFormat="1" applyBorder="1" applyAlignment="1">
      <alignment horizontal="center" vertical="center"/>
    </xf>
    <xf numFmtId="0" fontId="0" fillId="0" borderId="27" xfId="0" applyBorder="1"/>
    <xf numFmtId="164" fontId="0" fillId="0" borderId="10" xfId="0" applyNumberFormat="1" applyBorder="1" applyAlignment="1">
      <alignment horizontal="center"/>
    </xf>
    <xf numFmtId="164" fontId="0" fillId="0" borderId="7" xfId="0" applyNumberFormat="1" applyBorder="1" applyAlignment="1">
      <alignment horizontal="center"/>
    </xf>
    <xf numFmtId="164" fontId="0" fillId="0" borderId="11" xfId="0" applyNumberFormat="1" applyBorder="1" applyAlignment="1">
      <alignment horizontal="center"/>
    </xf>
    <xf numFmtId="164" fontId="0" fillId="0" borderId="12" xfId="0" applyNumberFormat="1" applyBorder="1" applyAlignment="1">
      <alignment horizontal="center"/>
    </xf>
    <xf numFmtId="164" fontId="0" fillId="0" borderId="14" xfId="0" applyNumberFormat="1"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0" fillId="0" borderId="13" xfId="0" applyBorder="1" applyAlignment="1">
      <alignment horizontal="center"/>
    </xf>
    <xf numFmtId="0" fontId="0" fillId="0" borderId="15" xfId="0" applyBorder="1" applyAlignment="1">
      <alignment horizontal="center"/>
    </xf>
    <xf numFmtId="2" fontId="0" fillId="0" borderId="12" xfId="0" applyNumberFormat="1" applyBorder="1"/>
    <xf numFmtId="0" fontId="0" fillId="0" borderId="24" xfId="0" applyBorder="1"/>
    <xf numFmtId="0" fontId="0" fillId="0" borderId="56" xfId="0" applyBorder="1"/>
    <xf numFmtId="0" fontId="0" fillId="0" borderId="57" xfId="0" applyBorder="1"/>
    <xf numFmtId="0" fontId="0" fillId="0" borderId="58" xfId="0" applyBorder="1"/>
    <xf numFmtId="0" fontId="0" fillId="10" borderId="24" xfId="0" applyFill="1" applyBorder="1" applyAlignment="1"/>
    <xf numFmtId="1" fontId="1" fillId="0" borderId="34" xfId="0" applyNumberFormat="1" applyFont="1" applyBorder="1" applyAlignment="1">
      <alignment horizontal="left" indent="2"/>
    </xf>
    <xf numFmtId="0" fontId="0" fillId="0" borderId="21" xfId="0" applyBorder="1"/>
    <xf numFmtId="0" fontId="0" fillId="0" borderId="22" xfId="0" applyBorder="1"/>
    <xf numFmtId="0" fontId="0" fillId="0" borderId="23" xfId="0" applyBorder="1"/>
    <xf numFmtId="2" fontId="1" fillId="0" borderId="10" xfId="0" applyNumberFormat="1" applyFont="1" applyBorder="1" applyAlignment="1">
      <alignment horizontal="center" wrapText="1"/>
    </xf>
    <xf numFmtId="2" fontId="0" fillId="0" borderId="14" xfId="0" applyNumberFormat="1" applyBorder="1"/>
    <xf numFmtId="0" fontId="1" fillId="3" borderId="0" xfId="0" applyFont="1" applyFill="1" applyBorder="1"/>
    <xf numFmtId="169" fontId="1" fillId="3" borderId="0" xfId="0" applyNumberFormat="1" applyFont="1" applyFill="1" applyBorder="1"/>
    <xf numFmtId="169" fontId="1" fillId="0" borderId="0" xfId="0" applyNumberFormat="1" applyFont="1" applyBorder="1"/>
    <xf numFmtId="0" fontId="0" fillId="0" borderId="59" xfId="0" applyBorder="1"/>
    <xf numFmtId="0" fontId="0" fillId="0" borderId="60" xfId="0" applyBorder="1"/>
    <xf numFmtId="0" fontId="0" fillId="0" borderId="33" xfId="0" applyBorder="1" applyAlignment="1">
      <alignment horizontal="center"/>
    </xf>
    <xf numFmtId="0" fontId="1" fillId="0" borderId="10" xfId="0" applyFont="1" applyBorder="1"/>
    <xf numFmtId="2" fontId="0" fillId="0" borderId="13" xfId="0" applyNumberFormat="1" applyFill="1" applyBorder="1" applyAlignment="1"/>
    <xf numFmtId="164" fontId="0" fillId="10" borderId="24" xfId="0" applyNumberFormat="1" applyFill="1" applyBorder="1"/>
    <xf numFmtId="2" fontId="0" fillId="10" borderId="24" xfId="0" applyNumberFormat="1" applyFill="1" applyBorder="1"/>
    <xf numFmtId="164" fontId="0" fillId="10" borderId="24" xfId="0" applyNumberFormat="1" applyFill="1" applyBorder="1" applyAlignment="1"/>
    <xf numFmtId="2" fontId="0" fillId="10" borderId="24" xfId="0" applyNumberFormat="1" applyFill="1" applyBorder="1" applyAlignment="1"/>
    <xf numFmtId="0" fontId="1" fillId="0" borderId="62" xfId="0" applyFont="1" applyBorder="1"/>
    <xf numFmtId="0" fontId="1" fillId="0" borderId="63" xfId="0" applyFont="1" applyBorder="1" applyAlignment="1">
      <alignment horizontal="center"/>
    </xf>
    <xf numFmtId="0" fontId="1" fillId="0" borderId="56" xfId="0" applyFont="1" applyBorder="1" applyAlignment="1">
      <alignment horizontal="center"/>
    </xf>
    <xf numFmtId="0" fontId="1" fillId="3" borderId="64" xfId="0" applyFont="1" applyFill="1" applyBorder="1" applyAlignment="1">
      <alignment horizontal="center"/>
    </xf>
    <xf numFmtId="1" fontId="22" fillId="0" borderId="65" xfId="1" applyNumberFormat="1" applyFont="1" applyBorder="1"/>
    <xf numFmtId="2" fontId="22" fillId="0" borderId="66" xfId="0" applyNumberFormat="1" applyFont="1" applyBorder="1"/>
    <xf numFmtId="0" fontId="22" fillId="0" borderId="67" xfId="0" applyFont="1" applyBorder="1" applyAlignment="1">
      <alignment horizontal="center"/>
    </xf>
    <xf numFmtId="0" fontId="22" fillId="0" borderId="68" xfId="0" applyFont="1" applyBorder="1" applyAlignment="1">
      <alignment horizontal="center"/>
    </xf>
    <xf numFmtId="2" fontId="0" fillId="0" borderId="51" xfId="0" applyNumberFormat="1" applyBorder="1"/>
    <xf numFmtId="2" fontId="0" fillId="0" borderId="2" xfId="0" applyNumberFormat="1" applyBorder="1" applyAlignment="1">
      <alignment horizontal="center"/>
    </xf>
    <xf numFmtId="2" fontId="1" fillId="0" borderId="52" xfId="0" applyNumberFormat="1" applyFont="1" applyBorder="1" applyAlignment="1">
      <alignment horizontal="center"/>
    </xf>
    <xf numFmtId="2" fontId="0" fillId="0" borderId="19" xfId="0" applyNumberFormat="1" applyBorder="1"/>
    <xf numFmtId="2" fontId="0" fillId="0" borderId="39" xfId="0" applyNumberFormat="1" applyBorder="1" applyAlignment="1">
      <alignment horizontal="center"/>
    </xf>
    <xf numFmtId="2" fontId="1" fillId="0" borderId="35" xfId="0" applyNumberFormat="1" applyFont="1" applyBorder="1" applyAlignment="1">
      <alignment horizontal="center"/>
    </xf>
    <xf numFmtId="2" fontId="1" fillId="3" borderId="33" xfId="0" applyNumberFormat="1" applyFont="1" applyFill="1" applyBorder="1" applyAlignment="1">
      <alignment horizontal="center"/>
    </xf>
    <xf numFmtId="2" fontId="1" fillId="0" borderId="51" xfId="0" applyNumberFormat="1" applyFont="1" applyBorder="1"/>
    <xf numFmtId="2" fontId="1" fillId="0" borderId="2" xfId="0" applyNumberFormat="1" applyFont="1" applyBorder="1" applyAlignment="1">
      <alignment horizontal="center"/>
    </xf>
    <xf numFmtId="2" fontId="1" fillId="0" borderId="24" xfId="0" applyNumberFormat="1" applyFont="1" applyBorder="1" applyAlignment="1">
      <alignment horizontal="center"/>
    </xf>
    <xf numFmtId="2" fontId="1" fillId="0" borderId="15" xfId="0" applyNumberFormat="1" applyFont="1" applyBorder="1" applyAlignment="1">
      <alignment horizontal="center"/>
    </xf>
    <xf numFmtId="2" fontId="1" fillId="3" borderId="61" xfId="0" applyNumberFormat="1" applyFont="1" applyFill="1" applyBorder="1" applyAlignment="1">
      <alignment horizontal="center"/>
    </xf>
    <xf numFmtId="0" fontId="0" fillId="0" borderId="25" xfId="0" applyBorder="1" applyAlignment="1">
      <alignment horizontal="left"/>
    </xf>
    <xf numFmtId="0" fontId="0" fillId="0" borderId="38" xfId="0" applyBorder="1" applyAlignment="1">
      <alignment horizontal="left"/>
    </xf>
    <xf numFmtId="0" fontId="0" fillId="0" borderId="26" xfId="0" applyBorder="1" applyAlignment="1">
      <alignment horizontal="left"/>
    </xf>
    <xf numFmtId="0" fontId="0" fillId="0" borderId="19" xfId="0" applyBorder="1" applyAlignment="1">
      <alignment horizontal="left"/>
    </xf>
    <xf numFmtId="0" fontId="0" fillId="0" borderId="20" xfId="0" applyBorder="1" applyAlignment="1">
      <alignment horizontal="left"/>
    </xf>
    <xf numFmtId="0" fontId="0" fillId="0" borderId="1" xfId="0" applyBorder="1" applyAlignment="1">
      <alignment horizontal="left"/>
    </xf>
    <xf numFmtId="0" fontId="0" fillId="0" borderId="17" xfId="0" applyBorder="1" applyAlignment="1">
      <alignment horizontal="left"/>
    </xf>
    <xf numFmtId="0" fontId="0" fillId="0" borderId="7" xfId="0" applyBorder="1" applyAlignment="1">
      <alignment horizontal="center"/>
    </xf>
    <xf numFmtId="0" fontId="0" fillId="0" borderId="8" xfId="0" applyBorder="1" applyAlignment="1">
      <alignment horizontal="center"/>
    </xf>
    <xf numFmtId="0" fontId="21" fillId="0" borderId="10" xfId="0" applyFont="1" applyBorder="1" applyAlignment="1">
      <alignment horizontal="center"/>
    </xf>
    <xf numFmtId="0" fontId="21" fillId="0" borderId="7" xfId="0" applyFont="1" applyBorder="1" applyAlignment="1">
      <alignment horizontal="center"/>
    </xf>
    <xf numFmtId="0" fontId="21" fillId="0" borderId="11" xfId="0" applyFont="1" applyBorder="1" applyAlignment="1">
      <alignment horizontal="center"/>
    </xf>
    <xf numFmtId="0" fontId="0" fillId="0" borderId="30" xfId="0" applyBorder="1" applyAlignment="1">
      <alignment horizontal="left"/>
    </xf>
    <xf numFmtId="0" fontId="0" fillId="0" borderId="31" xfId="0" applyBorder="1" applyAlignment="1">
      <alignment horizontal="left"/>
    </xf>
    <xf numFmtId="0" fontId="20" fillId="0" borderId="5" xfId="0" applyFont="1" applyBorder="1" applyAlignment="1">
      <alignment horizontal="center"/>
    </xf>
    <xf numFmtId="0" fontId="20" fillId="0" borderId="6" xfId="0" applyFont="1" applyBorder="1" applyAlignment="1">
      <alignment horizont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4" xfId="0" applyFont="1" applyBorder="1" applyAlignment="1">
      <alignment horizontal="center" vertical="center" wrapText="1"/>
    </xf>
    <xf numFmtId="0" fontId="1" fillId="0" borderId="8" xfId="0" applyFont="1" applyBorder="1" applyAlignment="1">
      <alignment horizontal="center" vertical="center" wrapText="1"/>
    </xf>
    <xf numFmtId="0" fontId="10" fillId="0" borderId="42" xfId="0" applyFont="1" applyBorder="1" applyAlignment="1">
      <alignment horizontal="center"/>
    </xf>
    <xf numFmtId="0" fontId="10" fillId="0" borderId="9" xfId="0" applyFont="1" applyBorder="1" applyAlignment="1">
      <alignment horizontal="center"/>
    </xf>
    <xf numFmtId="0" fontId="10" fillId="0" borderId="55" xfId="0" applyFont="1" applyBorder="1" applyAlignment="1">
      <alignment horizontal="center"/>
    </xf>
    <xf numFmtId="0" fontId="0" fillId="5" borderId="27" xfId="0" applyFill="1" applyBorder="1" applyAlignment="1">
      <alignment horizontal="center"/>
    </xf>
    <xf numFmtId="0" fontId="0" fillId="5" borderId="38" xfId="0" applyFill="1" applyBorder="1" applyAlignment="1">
      <alignment horizontal="center"/>
    </xf>
    <xf numFmtId="0" fontId="0" fillId="5" borderId="26" xfId="0" applyFill="1" applyBorder="1" applyAlignment="1">
      <alignment horizontal="center"/>
    </xf>
    <xf numFmtId="0" fontId="0" fillId="2" borderId="10" xfId="0" applyFont="1" applyFill="1" applyBorder="1" applyAlignment="1">
      <alignment horizontal="center" vertical="center" wrapText="1"/>
    </xf>
    <xf numFmtId="0" fontId="0" fillId="2" borderId="7"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0" fillId="2" borderId="12"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0" fillId="2" borderId="13" xfId="0" applyFont="1" applyFill="1" applyBorder="1" applyAlignment="1">
      <alignment horizontal="center" vertical="center" wrapText="1"/>
    </xf>
    <xf numFmtId="0" fontId="0" fillId="2" borderId="14"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15" xfId="0" applyFont="1" applyFill="1" applyBorder="1" applyAlignment="1">
      <alignment horizontal="center" vertical="center" wrapText="1"/>
    </xf>
    <xf numFmtId="0" fontId="0" fillId="8" borderId="49" xfId="0" applyFill="1" applyBorder="1" applyAlignment="1">
      <alignment horizontal="center" vertical="top" wrapText="1"/>
    </xf>
    <xf numFmtId="0" fontId="0" fillId="8" borderId="50" xfId="0" applyFill="1" applyBorder="1" applyAlignment="1">
      <alignment horizontal="center" vertical="top" wrapText="1"/>
    </xf>
    <xf numFmtId="0" fontId="0" fillId="8" borderId="34" xfId="0" applyFill="1" applyBorder="1" applyAlignment="1">
      <alignment horizontal="center" vertical="top" wrapText="1"/>
    </xf>
    <xf numFmtId="0" fontId="0" fillId="5" borderId="40" xfId="0" applyFill="1" applyBorder="1" applyAlignment="1">
      <alignment horizontal="center" vertical="center"/>
    </xf>
    <xf numFmtId="0" fontId="0" fillId="5" borderId="48" xfId="0" applyFill="1" applyBorder="1" applyAlignment="1">
      <alignment horizontal="center" vertical="center"/>
    </xf>
    <xf numFmtId="0" fontId="0" fillId="5" borderId="44" xfId="0" applyFill="1" applyBorder="1" applyAlignment="1">
      <alignment horizontal="center" vertical="center"/>
    </xf>
    <xf numFmtId="0" fontId="0" fillId="5" borderId="28" xfId="0" applyFill="1" applyBorder="1" applyAlignment="1">
      <alignment horizontal="center"/>
    </xf>
    <xf numFmtId="0" fontId="10" fillId="0" borderId="7" xfId="0" applyFont="1" applyBorder="1" applyAlignment="1">
      <alignment horizontal="center"/>
    </xf>
    <xf numFmtId="0" fontId="10" fillId="0" borderId="11" xfId="0" applyFont="1" applyBorder="1" applyAlignment="1">
      <alignment horizontal="center"/>
    </xf>
    <xf numFmtId="0" fontId="10" fillId="0" borderId="29" xfId="0" applyFont="1" applyBorder="1" applyAlignment="1">
      <alignment horizontal="center"/>
    </xf>
    <xf numFmtId="0" fontId="10" fillId="0" borderId="30" xfId="0" applyFont="1" applyBorder="1" applyAlignment="1">
      <alignment horizontal="center"/>
    </xf>
    <xf numFmtId="0" fontId="10" fillId="0" borderId="31" xfId="0" applyFont="1" applyBorder="1" applyAlignment="1">
      <alignment horizontal="center"/>
    </xf>
    <xf numFmtId="0" fontId="12" fillId="0" borderId="4" xfId="0" applyFont="1" applyBorder="1" applyAlignment="1">
      <alignment horizontal="center"/>
    </xf>
    <xf numFmtId="0" fontId="12" fillId="0" borderId="5" xfId="0" applyFont="1" applyBorder="1" applyAlignment="1">
      <alignment horizontal="center"/>
    </xf>
    <xf numFmtId="0" fontId="12" fillId="0" borderId="6" xfId="0" applyFont="1" applyBorder="1" applyAlignment="1">
      <alignment horizontal="center"/>
    </xf>
    <xf numFmtId="0" fontId="26" fillId="0" borderId="4" xfId="0" applyFont="1" applyBorder="1" applyAlignment="1">
      <alignment horizontal="center"/>
    </xf>
    <xf numFmtId="0" fontId="26" fillId="0" borderId="5" xfId="0" applyFont="1" applyBorder="1" applyAlignment="1">
      <alignment horizontal="center"/>
    </xf>
    <xf numFmtId="0" fontId="26" fillId="0" borderId="6" xfId="0" applyFont="1" applyBorder="1" applyAlignment="1">
      <alignment horizontal="center"/>
    </xf>
    <xf numFmtId="169" fontId="10" fillId="0" borderId="4" xfId="0" applyNumberFormat="1" applyFont="1" applyBorder="1" applyAlignment="1">
      <alignment horizontal="center"/>
    </xf>
    <xf numFmtId="169" fontId="10" fillId="0" borderId="5" xfId="0" applyNumberFormat="1" applyFont="1" applyBorder="1" applyAlignment="1">
      <alignment horizontal="center"/>
    </xf>
    <xf numFmtId="169" fontId="10" fillId="0" borderId="6" xfId="0" applyNumberFormat="1" applyFont="1" applyBorder="1" applyAlignment="1">
      <alignment horizontal="center"/>
    </xf>
    <xf numFmtId="0" fontId="23" fillId="0" borderId="10"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52" xfId="0" applyFont="1" applyBorder="1" applyAlignment="1">
      <alignment horizontal="center" vertical="center" wrapText="1"/>
    </xf>
    <xf numFmtId="0" fontId="23" fillId="0" borderId="54" xfId="0" applyFont="1" applyBorder="1" applyAlignment="1">
      <alignment horizontal="center" vertical="center" wrapText="1"/>
    </xf>
    <xf numFmtId="0" fontId="0" fillId="2" borderId="4" xfId="0" applyFill="1" applyBorder="1" applyAlignment="1">
      <alignment horizontal="center"/>
    </xf>
    <xf numFmtId="0" fontId="0" fillId="2" borderId="6" xfId="0" applyFill="1" applyBorder="1" applyAlignment="1">
      <alignment horizontal="center"/>
    </xf>
    <xf numFmtId="169" fontId="0" fillId="0" borderId="52" xfId="0" applyNumberFormat="1" applyBorder="1" applyAlignment="1">
      <alignment horizontal="center"/>
    </xf>
    <xf numFmtId="169" fontId="0" fillId="0" borderId="53" xfId="0" applyNumberFormat="1" applyBorder="1" applyAlignment="1">
      <alignment horizontal="center"/>
    </xf>
    <xf numFmtId="169" fontId="0" fillId="0" borderId="2" xfId="0" applyNumberFormat="1" applyBorder="1" applyAlignment="1">
      <alignment horizontal="center"/>
    </xf>
    <xf numFmtId="169" fontId="0" fillId="0" borderId="54" xfId="0" applyNumberFormat="1" applyBorder="1" applyAlignment="1">
      <alignment horizontal="center"/>
    </xf>
    <xf numFmtId="0" fontId="20" fillId="0" borderId="4" xfId="0" applyFont="1" applyBorder="1" applyAlignment="1">
      <alignment horizontal="center"/>
    </xf>
    <xf numFmtId="0" fontId="0" fillId="9" borderId="0" xfId="0" applyFill="1" applyAlignment="1">
      <alignment horizontal="center" vertical="center" wrapText="1"/>
    </xf>
    <xf numFmtId="169" fontId="0" fillId="2" borderId="4" xfId="0" applyNumberFormat="1" applyFill="1" applyBorder="1" applyAlignment="1">
      <alignment horizontal="left"/>
    </xf>
    <xf numFmtId="169" fontId="0" fillId="2" borderId="5" xfId="0" applyNumberFormat="1" applyFill="1" applyBorder="1" applyAlignment="1">
      <alignment horizontal="left"/>
    </xf>
    <xf numFmtId="169" fontId="0" fillId="2" borderId="6" xfId="0" applyNumberFormat="1" applyFill="1" applyBorder="1" applyAlignment="1">
      <alignment horizontal="left"/>
    </xf>
    <xf numFmtId="0" fontId="0" fillId="0" borderId="28" xfId="0" applyBorder="1" applyAlignment="1">
      <alignment horizontal="left" vertical="center" wrapText="1"/>
    </xf>
    <xf numFmtId="0" fontId="0" fillId="0" borderId="1" xfId="0" applyBorder="1" applyAlignment="1">
      <alignment horizontal="left" vertical="center" wrapText="1"/>
    </xf>
    <xf numFmtId="0" fontId="0" fillId="0" borderId="28" xfId="0" applyBorder="1" applyAlignment="1">
      <alignment horizontal="center"/>
    </xf>
    <xf numFmtId="0" fontId="0" fillId="0" borderId="1" xfId="0" applyBorder="1" applyAlignment="1">
      <alignment horizontal="center"/>
    </xf>
    <xf numFmtId="0" fontId="0" fillId="0" borderId="17" xfId="0" applyBorder="1" applyAlignment="1">
      <alignment horizontal="center"/>
    </xf>
    <xf numFmtId="0" fontId="10" fillId="0" borderId="22" xfId="0" applyFont="1" applyBorder="1" applyAlignment="1">
      <alignment horizontal="center"/>
    </xf>
    <xf numFmtId="0" fontId="10" fillId="0" borderId="23" xfId="0" applyFont="1" applyBorder="1" applyAlignment="1">
      <alignment horizontal="center"/>
    </xf>
    <xf numFmtId="0" fontId="0" fillId="0" borderId="16" xfId="0" applyBorder="1" applyAlignment="1">
      <alignment horizontal="center"/>
    </xf>
    <xf numFmtId="0" fontId="10" fillId="0" borderId="21" xfId="0" applyFont="1" applyBorder="1" applyAlignment="1">
      <alignment horizontal="center"/>
    </xf>
    <xf numFmtId="169" fontId="10" fillId="0" borderId="21" xfId="0" applyNumberFormat="1" applyFont="1" applyBorder="1" applyAlignment="1">
      <alignment horizontal="center"/>
    </xf>
    <xf numFmtId="169" fontId="10" fillId="0" borderId="22" xfId="0" applyNumberFormat="1" applyFont="1" applyBorder="1" applyAlignment="1">
      <alignment horizontal="center"/>
    </xf>
    <xf numFmtId="169" fontId="10" fillId="0" borderId="23" xfId="0" applyNumberFormat="1" applyFont="1" applyBorder="1" applyAlignment="1">
      <alignment horizontal="center"/>
    </xf>
    <xf numFmtId="169" fontId="12" fillId="0" borderId="35" xfId="0" applyNumberFormat="1" applyFont="1" applyBorder="1" applyAlignment="1">
      <alignment horizontal="center"/>
    </xf>
    <xf numFmtId="169" fontId="12" fillId="0" borderId="36" xfId="0" applyNumberFormat="1" applyFont="1" applyBorder="1" applyAlignment="1">
      <alignment horizontal="center"/>
    </xf>
    <xf numFmtId="169" fontId="12" fillId="0" borderId="37" xfId="0" applyNumberFormat="1" applyFont="1" applyBorder="1" applyAlignment="1">
      <alignment horizontal="center"/>
    </xf>
    <xf numFmtId="169" fontId="0" fillId="0" borderId="16" xfId="0" applyNumberFormat="1" applyBorder="1" applyAlignment="1">
      <alignment horizontal="center"/>
    </xf>
    <xf numFmtId="169" fontId="0" fillId="0" borderId="1" xfId="0" applyNumberFormat="1" applyBorder="1" applyAlignment="1">
      <alignment horizontal="center"/>
    </xf>
    <xf numFmtId="169" fontId="0" fillId="0" borderId="17" xfId="0" applyNumberFormat="1" applyBorder="1" applyAlignment="1">
      <alignment horizontal="center"/>
    </xf>
    <xf numFmtId="0" fontId="9" fillId="0" borderId="4" xfId="0" applyFont="1" applyBorder="1" applyAlignment="1">
      <alignment horizontal="center"/>
    </xf>
    <xf numFmtId="0" fontId="9" fillId="0" borderId="5" xfId="0" applyFont="1" applyBorder="1" applyAlignment="1">
      <alignment horizontal="center"/>
    </xf>
    <xf numFmtId="0" fontId="9" fillId="0" borderId="6" xfId="0" applyFont="1"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10" borderId="4" xfId="0" applyFont="1" applyFill="1" applyBorder="1" applyAlignment="1">
      <alignment horizontal="left"/>
    </xf>
    <xf numFmtId="0" fontId="0" fillId="10" borderId="5" xfId="0" applyFont="1" applyFill="1" applyBorder="1" applyAlignment="1">
      <alignment horizontal="left"/>
    </xf>
    <xf numFmtId="0" fontId="0" fillId="10" borderId="6" xfId="0" applyFont="1" applyFill="1" applyBorder="1" applyAlignment="1">
      <alignment horizontal="left"/>
    </xf>
    <xf numFmtId="0" fontId="0" fillId="10" borderId="4" xfId="0" applyFill="1" applyBorder="1" applyAlignment="1">
      <alignment horizontal="left"/>
    </xf>
    <xf numFmtId="0" fontId="0" fillId="10" borderId="5" xfId="0" applyFill="1" applyBorder="1" applyAlignment="1">
      <alignment horizontal="left"/>
    </xf>
    <xf numFmtId="0" fontId="0" fillId="10" borderId="6" xfId="0" applyFill="1" applyBorder="1" applyAlignment="1">
      <alignment horizontal="left"/>
    </xf>
    <xf numFmtId="0" fontId="9" fillId="0" borderId="10" xfId="0" applyFont="1" applyBorder="1" applyAlignment="1">
      <alignment horizontal="center"/>
    </xf>
    <xf numFmtId="0" fontId="9" fillId="0" borderId="7" xfId="0" applyFont="1" applyBorder="1" applyAlignment="1">
      <alignment horizontal="center"/>
    </xf>
    <xf numFmtId="0" fontId="9"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0" borderId="6" xfId="0" applyFont="1" applyBorder="1" applyAlignment="1">
      <alignment horizontal="center"/>
    </xf>
    <xf numFmtId="0" fontId="11" fillId="0" borderId="0" xfId="0" applyFont="1" applyAlignment="1">
      <alignment horizontal="center"/>
    </xf>
    <xf numFmtId="0" fontId="1"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Border="1" applyAlignment="1">
      <alignment vertical="center" wrapText="1"/>
    </xf>
    <xf numFmtId="0" fontId="8" fillId="0" borderId="10"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8" xfId="0" applyFont="1" applyBorder="1" applyAlignment="1">
      <alignment horizontal="center" vertical="center" wrapText="1"/>
    </xf>
    <xf numFmtId="0" fontId="8" fillId="0" borderId="15" xfId="0" applyFont="1" applyBorder="1" applyAlignment="1">
      <alignment horizontal="center" vertical="center" wrapText="1"/>
    </xf>
    <xf numFmtId="0" fontId="0" fillId="0" borderId="1" xfId="0" applyFont="1" applyBorder="1" applyAlignment="1">
      <alignment horizontal="left" vertical="center" wrapText="1"/>
    </xf>
    <xf numFmtId="0" fontId="0" fillId="0" borderId="9" xfId="0" applyBorder="1" applyAlignment="1">
      <alignment horizontal="center" vertical="center" wrapText="1"/>
    </xf>
    <xf numFmtId="0" fontId="0" fillId="0" borderId="69" xfId="0" applyBorder="1" applyAlignment="1">
      <alignment horizontal="center" vertical="center" wrapText="1"/>
    </xf>
    <xf numFmtId="15" fontId="0" fillId="0" borderId="1" xfId="0" applyNumberFormat="1" applyBorder="1"/>
    <xf numFmtId="0" fontId="5" fillId="9" borderId="0" xfId="0" applyFont="1" applyFill="1" applyAlignment="1">
      <alignment horizontal="center" wrapText="1"/>
    </xf>
    <xf numFmtId="0" fontId="1" fillId="9" borderId="0" xfId="0" applyFont="1" applyFill="1" applyAlignment="1">
      <alignment horizontal="center" wrapText="1"/>
    </xf>
  </cellXfs>
  <cellStyles count="2">
    <cellStyle name="Normal" xfId="0" builtinId="0"/>
    <cellStyle name="Percent" xfId="1" builtinId="5"/>
  </cellStyles>
  <dxfs count="1">
    <dxf>
      <font>
        <b/>
        <i val="0"/>
        <color rgb="FFFF0000"/>
      </font>
      <fill>
        <patternFill>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Collected Data </a:t>
            </a:r>
          </a:p>
        </c:rich>
      </c:tx>
      <c:layout/>
      <c:overlay val="0"/>
    </c:title>
    <c:autoTitleDeleted val="0"/>
    <c:plotArea>
      <c:layout/>
      <c:pieChart>
        <c:varyColors val="1"/>
        <c:ser>
          <c:idx val="0"/>
          <c:order val="0"/>
          <c:dLbls>
            <c:showLegendKey val="0"/>
            <c:showVal val="1"/>
            <c:showCatName val="0"/>
            <c:showSerName val="0"/>
            <c:showPercent val="0"/>
            <c:showBubbleSize val="0"/>
            <c:showLeaderLines val="1"/>
          </c:dLbls>
          <c:cat>
            <c:strRef>
              <c:f>Establishments!$N$1:$O$1</c:f>
              <c:strCache>
                <c:ptCount val="2"/>
                <c:pt idx="0">
                  <c:v>Reporting </c:v>
                </c:pt>
                <c:pt idx="1">
                  <c:v>Not Yet Reported</c:v>
                </c:pt>
              </c:strCache>
            </c:strRef>
          </c:cat>
          <c:val>
            <c:numRef>
              <c:f>Establishments!$N$2:$O$2</c:f>
              <c:numCache>
                <c:formatCode>General</c:formatCode>
                <c:ptCount val="2"/>
                <c:pt idx="0">
                  <c:v>94</c:v>
                </c:pt>
                <c:pt idx="1">
                  <c:v>81</c:v>
                </c:pt>
              </c:numCache>
            </c:numRef>
          </c:val>
        </c:ser>
        <c:dLbls>
          <c:showLegendKey val="0"/>
          <c:showVal val="0"/>
          <c:showCatName val="0"/>
          <c:showSerName val="0"/>
          <c:showPercent val="0"/>
          <c:showBubbleSize val="0"/>
          <c:showLeaderLines val="1"/>
        </c:dLbls>
        <c:firstSliceAng val="0"/>
      </c:pieChart>
    </c:plotArea>
    <c:legend>
      <c:legendPos val="r"/>
      <c:layout/>
      <c:overlay val="0"/>
    </c:legend>
    <c:plotVisOnly val="1"/>
    <c:dispBlanksAs val="zero"/>
    <c:showDLblsOverMax val="0"/>
  </c:chart>
  <c:printSettings>
    <c:headerFooter/>
    <c:pageMargins b="0.750000000000001" l="0.70000000000000062" r="0.70000000000000062" t="0.750000000000001"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Collected</a:t>
            </a:r>
            <a:r>
              <a:rPr lang="en-US" baseline="0"/>
              <a:t> Data - Plant Size</a:t>
            </a:r>
            <a:endParaRPr lang="en-US"/>
          </a:p>
        </c:rich>
      </c:tx>
      <c:layout/>
      <c:overlay val="0"/>
    </c:title>
    <c:autoTitleDeleted val="0"/>
    <c:plotArea>
      <c:layout/>
      <c:pieChart>
        <c:varyColors val="1"/>
        <c:ser>
          <c:idx val="0"/>
          <c:order val="0"/>
          <c:tx>
            <c:strRef>
              <c:f>Establishments!$T$2:$W$2</c:f>
              <c:strCache>
                <c:ptCount val="1"/>
                <c:pt idx="0">
                  <c:v>NULL Small Medium Large</c:v>
                </c:pt>
              </c:strCache>
            </c:strRef>
          </c:tx>
          <c:dLbls>
            <c:dLblPos val="ctr"/>
            <c:showLegendKey val="0"/>
            <c:showVal val="1"/>
            <c:showCatName val="0"/>
            <c:showSerName val="0"/>
            <c:showPercent val="0"/>
            <c:showBubbleSize val="0"/>
            <c:showLeaderLines val="1"/>
          </c:dLbls>
          <c:cat>
            <c:strRef>
              <c:f>Establishments!$T$2:$W$2</c:f>
              <c:strCache>
                <c:ptCount val="4"/>
                <c:pt idx="0">
                  <c:v>NULL</c:v>
                </c:pt>
                <c:pt idx="1">
                  <c:v>Small</c:v>
                </c:pt>
                <c:pt idx="2">
                  <c:v>Medium</c:v>
                </c:pt>
                <c:pt idx="3">
                  <c:v>Large</c:v>
                </c:pt>
              </c:strCache>
            </c:strRef>
          </c:cat>
          <c:val>
            <c:numRef>
              <c:f>Establishments!$T$3:$W$3</c:f>
              <c:numCache>
                <c:formatCode>General</c:formatCode>
                <c:ptCount val="4"/>
                <c:pt idx="0">
                  <c:v>2</c:v>
                </c:pt>
                <c:pt idx="1">
                  <c:v>26</c:v>
                </c:pt>
                <c:pt idx="2">
                  <c:v>32</c:v>
                </c:pt>
                <c:pt idx="3">
                  <c:v>34</c:v>
                </c:pt>
              </c:numCache>
            </c:numRef>
          </c:val>
        </c:ser>
        <c:dLbls>
          <c:showLegendKey val="0"/>
          <c:showVal val="1"/>
          <c:showCatName val="0"/>
          <c:showSerName val="0"/>
          <c:showPercent val="0"/>
          <c:showBubbleSize val="0"/>
          <c:showLeaderLines val="1"/>
        </c:dLbls>
        <c:firstSliceAng val="0"/>
      </c:pieChart>
    </c:plotArea>
    <c:legend>
      <c:legendPos val="r"/>
      <c:layout/>
      <c:overlay val="0"/>
    </c:legend>
    <c:plotVisOnly val="1"/>
    <c:dispBlanksAs val="zero"/>
    <c:showDLblsOverMax val="0"/>
  </c:chart>
  <c:printSettings>
    <c:headerFooter/>
    <c:pageMargins b="0.750000000000001" l="0.70000000000000062" r="0.70000000000000062" t="0.75000000000000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layout/>
      <c:overlay val="0"/>
    </c:title>
    <c:autoTitleDeleted val="0"/>
    <c:plotArea>
      <c:layout/>
      <c:pieChart>
        <c:varyColors val="1"/>
        <c:ser>
          <c:idx val="0"/>
          <c:order val="0"/>
          <c:tx>
            <c:strRef>
              <c:f>Establishments!$AB$1</c:f>
              <c:strCache>
                <c:ptCount val="1"/>
                <c:pt idx="0">
                  <c:v>Reporting District</c:v>
                </c:pt>
              </c:strCache>
            </c:strRef>
          </c:tx>
          <c:dLbls>
            <c:dLblPos val="ctr"/>
            <c:showLegendKey val="0"/>
            <c:showVal val="1"/>
            <c:showCatName val="0"/>
            <c:showSerName val="0"/>
            <c:showPercent val="0"/>
            <c:showBubbleSize val="0"/>
            <c:showLeaderLines val="1"/>
          </c:dLbls>
          <c:cat>
            <c:numRef>
              <c:f>Establishments!$AB$2:$AK$2</c:f>
              <c:numCache>
                <c:formatCode>General</c:formatCode>
                <c:ptCount val="10"/>
                <c:pt idx="0">
                  <c:v>5</c:v>
                </c:pt>
                <c:pt idx="1">
                  <c:v>15</c:v>
                </c:pt>
                <c:pt idx="2">
                  <c:v>25</c:v>
                </c:pt>
                <c:pt idx="3">
                  <c:v>35</c:v>
                </c:pt>
                <c:pt idx="4">
                  <c:v>40</c:v>
                </c:pt>
                <c:pt idx="5">
                  <c:v>50</c:v>
                </c:pt>
                <c:pt idx="6">
                  <c:v>60</c:v>
                </c:pt>
                <c:pt idx="7">
                  <c:v>80</c:v>
                </c:pt>
                <c:pt idx="8">
                  <c:v>85</c:v>
                </c:pt>
                <c:pt idx="9">
                  <c:v>90</c:v>
                </c:pt>
              </c:numCache>
            </c:numRef>
          </c:cat>
          <c:val>
            <c:numRef>
              <c:f>Establishments!$AB$3:$AK$3</c:f>
              <c:numCache>
                <c:formatCode>General</c:formatCode>
                <c:ptCount val="10"/>
                <c:pt idx="0">
                  <c:v>2</c:v>
                </c:pt>
                <c:pt idx="1">
                  <c:v>27</c:v>
                </c:pt>
                <c:pt idx="2">
                  <c:v>6</c:v>
                </c:pt>
                <c:pt idx="3">
                  <c:v>9</c:v>
                </c:pt>
                <c:pt idx="4">
                  <c:v>12</c:v>
                </c:pt>
                <c:pt idx="5">
                  <c:v>6</c:v>
                </c:pt>
                <c:pt idx="6">
                  <c:v>16</c:v>
                </c:pt>
                <c:pt idx="7">
                  <c:v>5</c:v>
                </c:pt>
                <c:pt idx="8">
                  <c:v>5</c:v>
                </c:pt>
                <c:pt idx="9">
                  <c:v>6</c:v>
                </c:pt>
              </c:numCache>
            </c:numRef>
          </c:val>
        </c:ser>
        <c:dLbls>
          <c:showLegendKey val="0"/>
          <c:showVal val="1"/>
          <c:showCatName val="0"/>
          <c:showSerName val="0"/>
          <c:showPercent val="0"/>
          <c:showBubbleSize val="0"/>
          <c:showLeaderLines val="1"/>
        </c:dLbls>
        <c:firstSliceAng val="0"/>
      </c:pieChart>
    </c:plotArea>
    <c:legend>
      <c:legendPos val="r"/>
      <c:layout/>
      <c:overlay val="0"/>
      <c:txPr>
        <a:bodyPr/>
        <a:lstStyle/>
        <a:p>
          <a:pPr rtl="0">
            <a:defRPr/>
          </a:pPr>
          <a:endParaRPr lang="en-US"/>
        </a:p>
      </c:txPr>
    </c:legend>
    <c:plotVisOnly val="1"/>
    <c:dispBlanksAs val="zero"/>
    <c:showDLblsOverMax val="0"/>
  </c:chart>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Measurement Team Size</a:t>
            </a:r>
          </a:p>
        </c:rich>
      </c:tx>
      <c:overlay val="0"/>
    </c:title>
    <c:autoTitleDeleted val="0"/>
    <c:plotArea>
      <c:layout/>
      <c:pieChart>
        <c:varyColors val="1"/>
        <c:ser>
          <c:idx val="0"/>
          <c:order val="0"/>
          <c:dLbls>
            <c:showLegendKey val="0"/>
            <c:showVal val="1"/>
            <c:showCatName val="0"/>
            <c:showSerName val="0"/>
            <c:showPercent val="0"/>
            <c:showBubbleSize val="0"/>
            <c:showLeaderLines val="0"/>
          </c:dLbls>
          <c:cat>
            <c:strRef>
              <c:f>'Data For Analysis'!$D$46:$E$46</c:f>
              <c:strCache>
                <c:ptCount val="2"/>
                <c:pt idx="0">
                  <c:v>2-person</c:v>
                </c:pt>
                <c:pt idx="1">
                  <c:v>1-person</c:v>
                </c:pt>
              </c:strCache>
            </c:strRef>
          </c:cat>
          <c:val>
            <c:numRef>
              <c:f>'Data For Analysis'!$D$47:$E$47</c:f>
              <c:numCache>
                <c:formatCode>General</c:formatCode>
                <c:ptCount val="2"/>
                <c:pt idx="0">
                  <c:v>82</c:v>
                </c:pt>
                <c:pt idx="1">
                  <c:v>6</c:v>
                </c:pt>
              </c:numCache>
            </c:numRef>
          </c:val>
        </c:ser>
        <c:dLbls>
          <c:showLegendKey val="0"/>
          <c:showVal val="0"/>
          <c:showCatName val="0"/>
          <c:showSerName val="0"/>
          <c:showPercent val="0"/>
          <c:showBubbleSize val="0"/>
          <c:showLeaderLines val="0"/>
        </c:dLbls>
        <c:firstSliceAng val="0"/>
      </c:pieChart>
    </c:plotArea>
    <c:legend>
      <c:legendPos val="b"/>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Plant Size</a:t>
            </a:r>
            <a:r>
              <a:rPr lang="en-US" baseline="0"/>
              <a:t> Distribution</a:t>
            </a:r>
          </a:p>
          <a:p>
            <a:pPr>
              <a:defRPr/>
            </a:pPr>
            <a:r>
              <a:rPr lang="en-US" sz="1100" baseline="0"/>
              <a:t>Plant Sizing Analysis</a:t>
            </a:r>
            <a:endParaRPr lang="en-US" sz="1100"/>
          </a:p>
        </c:rich>
      </c:tx>
      <c:layout/>
      <c:overlay val="0"/>
    </c:title>
    <c:autoTitleDeleted val="0"/>
    <c:plotArea>
      <c:layout/>
      <c:pieChart>
        <c:varyColors val="1"/>
        <c:ser>
          <c:idx val="0"/>
          <c:order val="0"/>
          <c:dLbls>
            <c:dLblPos val="ctr"/>
            <c:showLegendKey val="0"/>
            <c:showVal val="1"/>
            <c:showCatName val="0"/>
            <c:showSerName val="0"/>
            <c:showPercent val="0"/>
            <c:showBubbleSize val="0"/>
            <c:showLeaderLines val="1"/>
          </c:dLbls>
          <c:cat>
            <c:strRef>
              <c:f>Constants!$C$9:$C$11</c:f>
              <c:strCache>
                <c:ptCount val="3"/>
                <c:pt idx="0">
                  <c:v>Small</c:v>
                </c:pt>
                <c:pt idx="1">
                  <c:v>Medium</c:v>
                </c:pt>
                <c:pt idx="2">
                  <c:v>Large</c:v>
                </c:pt>
              </c:strCache>
            </c:strRef>
          </c:cat>
          <c:val>
            <c:numRef>
              <c:f>Constants!$E$9:$E$11</c:f>
              <c:numCache>
                <c:formatCode>General</c:formatCode>
                <c:ptCount val="3"/>
                <c:pt idx="0">
                  <c:v>50</c:v>
                </c:pt>
                <c:pt idx="1">
                  <c:v>56</c:v>
                </c:pt>
                <c:pt idx="2">
                  <c:v>41</c:v>
                </c:pt>
              </c:numCache>
            </c:numRef>
          </c:val>
        </c:ser>
        <c:dLbls>
          <c:showLegendKey val="0"/>
          <c:showVal val="1"/>
          <c:showCatName val="0"/>
          <c:showSerName val="0"/>
          <c:showPercent val="0"/>
          <c:showBubbleSize val="0"/>
          <c:showLeaderLines val="1"/>
        </c:dLbls>
        <c:firstSliceAng val="0"/>
      </c:pieChart>
    </c:plotArea>
    <c:legend>
      <c:legendPos val="r"/>
      <c:layout/>
      <c:overlay val="0"/>
      <c:txPr>
        <a:bodyPr/>
        <a:lstStyle/>
        <a:p>
          <a:pPr rtl="0">
            <a:defRPr/>
          </a:pPr>
          <a:endParaRPr lang="en-US"/>
        </a:p>
      </c:txPr>
    </c:legend>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Plant Size</a:t>
            </a:r>
            <a:r>
              <a:rPr lang="en-US" baseline="0"/>
              <a:t> Distribution</a:t>
            </a:r>
          </a:p>
          <a:p>
            <a:pPr>
              <a:defRPr/>
            </a:pPr>
            <a:r>
              <a:rPr lang="en-US" sz="1100" baseline="0"/>
              <a:t>Among plants with non-excluded data</a:t>
            </a:r>
            <a:endParaRPr lang="en-US" sz="1100"/>
          </a:p>
        </c:rich>
      </c:tx>
      <c:layout/>
      <c:overlay val="0"/>
    </c:title>
    <c:autoTitleDeleted val="0"/>
    <c:plotArea>
      <c:layout/>
      <c:pieChart>
        <c:varyColors val="1"/>
        <c:ser>
          <c:idx val="0"/>
          <c:order val="0"/>
          <c:dLbls>
            <c:dLblPos val="ctr"/>
            <c:showLegendKey val="0"/>
            <c:showVal val="1"/>
            <c:showCatName val="0"/>
            <c:showSerName val="0"/>
            <c:showPercent val="0"/>
            <c:showBubbleSize val="0"/>
            <c:showLeaderLines val="1"/>
          </c:dLbls>
          <c:cat>
            <c:strRef>
              <c:f>Constants!$C$25:$C$28</c:f>
              <c:strCache>
                <c:ptCount val="4"/>
                <c:pt idx="0">
                  <c:v>Small</c:v>
                </c:pt>
                <c:pt idx="1">
                  <c:v>Medium</c:v>
                </c:pt>
                <c:pt idx="2">
                  <c:v>Large</c:v>
                </c:pt>
                <c:pt idx="3">
                  <c:v>Not Reported</c:v>
                </c:pt>
              </c:strCache>
            </c:strRef>
          </c:cat>
          <c:val>
            <c:numRef>
              <c:f>Constants!$D$25:$D$28</c:f>
              <c:numCache>
                <c:formatCode>General</c:formatCode>
                <c:ptCount val="4"/>
                <c:pt idx="0">
                  <c:v>24</c:v>
                </c:pt>
                <c:pt idx="1">
                  <c:v>29</c:v>
                </c:pt>
                <c:pt idx="2">
                  <c:v>33</c:v>
                </c:pt>
                <c:pt idx="3">
                  <c:v>2</c:v>
                </c:pt>
              </c:numCache>
            </c:numRef>
          </c:val>
        </c:ser>
        <c:dLbls>
          <c:showLegendKey val="0"/>
          <c:showVal val="1"/>
          <c:showCatName val="0"/>
          <c:showSerName val="0"/>
          <c:showPercent val="0"/>
          <c:showBubbleSize val="0"/>
          <c:showLeaderLines val="1"/>
        </c:dLbls>
        <c:firstSliceAng val="0"/>
      </c:pieChart>
    </c:plotArea>
    <c:legend>
      <c:legendPos val="r"/>
      <c:layout/>
      <c:overlay val="0"/>
      <c:txPr>
        <a:bodyPr/>
        <a:lstStyle/>
        <a:p>
          <a:pPr rtl="0">
            <a:defRPr/>
          </a:pPr>
          <a:endParaRPr lang="en-US"/>
        </a:p>
      </c:txPr>
    </c:legend>
    <c:plotVisOnly val="1"/>
    <c:dispBlanksAs val="zero"/>
    <c:showDLblsOverMax val="0"/>
  </c:chart>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a:pPr>
            <a:r>
              <a:rPr lang="en-US" sz="2400"/>
              <a:t>Total</a:t>
            </a:r>
            <a:r>
              <a:rPr lang="en-US" sz="2400" baseline="0"/>
              <a:t> Direct &amp; Indirect Time to Complete MT60, by Plant Size</a:t>
            </a:r>
          </a:p>
          <a:p>
            <a:pPr>
              <a:defRPr sz="2400"/>
            </a:pPr>
            <a:r>
              <a:rPr lang="en-US" sz="2400" baseline="0"/>
              <a:t>(Linear Scale)</a:t>
            </a:r>
          </a:p>
        </c:rich>
      </c:tx>
      <c:layout/>
      <c:overlay val="0"/>
    </c:title>
    <c:autoTitleDeleted val="0"/>
    <c:plotArea>
      <c:layout/>
      <c:scatterChart>
        <c:scatterStyle val="lineMarker"/>
        <c:varyColors val="0"/>
        <c:ser>
          <c:idx val="1"/>
          <c:order val="0"/>
          <c:spPr>
            <a:ln w="28575">
              <a:noFill/>
            </a:ln>
          </c:spPr>
          <c:xVal>
            <c:numRef>
              <c:f>'Task Durations'!$D$9:$CO$9</c:f>
              <c:numCache>
                <c:formatCode>General</c:formatCode>
                <c:ptCount val="90"/>
                <c:pt idx="0">
                  <c:v>35000</c:v>
                </c:pt>
                <c:pt idx="1">
                  <c:v>61000</c:v>
                </c:pt>
                <c:pt idx="2">
                  <c:v>14000</c:v>
                </c:pt>
                <c:pt idx="3">
                  <c:v>170000</c:v>
                </c:pt>
                <c:pt idx="4">
                  <c:v>4750</c:v>
                </c:pt>
                <c:pt idx="5">
                  <c:v>118000</c:v>
                </c:pt>
                <c:pt idx="6">
                  <c:v>3880</c:v>
                </c:pt>
                <c:pt idx="7">
                  <c:v>7000</c:v>
                </c:pt>
                <c:pt idx="8">
                  <c:v>2400</c:v>
                </c:pt>
                <c:pt idx="9">
                  <c:v>7764</c:v>
                </c:pt>
                <c:pt idx="10">
                  <c:v>3450</c:v>
                </c:pt>
                <c:pt idx="11">
                  <c:v>6000</c:v>
                </c:pt>
                <c:pt idx="12">
                  <c:v>223200</c:v>
                </c:pt>
                <c:pt idx="13">
                  <c:v>45000</c:v>
                </c:pt>
                <c:pt idx="14">
                  <c:v>16000</c:v>
                </c:pt>
                <c:pt idx="15">
                  <c:v>1000</c:v>
                </c:pt>
                <c:pt idx="16">
                  <c:v>7000</c:v>
                </c:pt>
                <c:pt idx="17">
                  <c:v>2500</c:v>
                </c:pt>
                <c:pt idx="18">
                  <c:v>20000</c:v>
                </c:pt>
                <c:pt idx="19">
                  <c:v>29568</c:v>
                </c:pt>
                <c:pt idx="20">
                  <c:v>10000</c:v>
                </c:pt>
                <c:pt idx="21">
                  <c:v>566670</c:v>
                </c:pt>
                <c:pt idx="22">
                  <c:v>500000</c:v>
                </c:pt>
                <c:pt idx="23">
                  <c:v>3600</c:v>
                </c:pt>
                <c:pt idx="24">
                  <c:v>11579</c:v>
                </c:pt>
                <c:pt idx="25">
                  <c:v>3821</c:v>
                </c:pt>
                <c:pt idx="26">
                  <c:v>3328</c:v>
                </c:pt>
                <c:pt idx="27">
                  <c:v>268000</c:v>
                </c:pt>
                <c:pt idx="28">
                  <c:v>121200</c:v>
                </c:pt>
                <c:pt idx="29">
                  <c:v>524000</c:v>
                </c:pt>
                <c:pt idx="30">
                  <c:v>3200</c:v>
                </c:pt>
                <c:pt idx="31">
                  <c:v>300</c:v>
                </c:pt>
                <c:pt idx="32">
                  <c:v>143220</c:v>
                </c:pt>
                <c:pt idx="33">
                  <c:v>750000</c:v>
                </c:pt>
                <c:pt idx="34">
                  <c:v>18500</c:v>
                </c:pt>
                <c:pt idx="35">
                  <c:v>54000</c:v>
                </c:pt>
                <c:pt idx="36">
                  <c:v>2850</c:v>
                </c:pt>
                <c:pt idx="37">
                  <c:v>3225</c:v>
                </c:pt>
                <c:pt idx="38">
                  <c:v>9800</c:v>
                </c:pt>
                <c:pt idx="39">
                  <c:v>27958</c:v>
                </c:pt>
                <c:pt idx="40">
                  <c:v>738038</c:v>
                </c:pt>
                <c:pt idx="41">
                  <c:v>11000</c:v>
                </c:pt>
                <c:pt idx="42">
                  <c:v>153395</c:v>
                </c:pt>
                <c:pt idx="43">
                  <c:v>688202</c:v>
                </c:pt>
                <c:pt idx="44">
                  <c:v>4000</c:v>
                </c:pt>
                <c:pt idx="45">
                  <c:v>9200</c:v>
                </c:pt>
                <c:pt idx="46">
                  <c:v>380489</c:v>
                </c:pt>
                <c:pt idx="47">
                  <c:v>22000</c:v>
                </c:pt>
                <c:pt idx="48">
                  <c:v>474000</c:v>
                </c:pt>
                <c:pt idx="49">
                  <c:v>50000</c:v>
                </c:pt>
                <c:pt idx="50">
                  <c:v>0</c:v>
                </c:pt>
                <c:pt idx="51">
                  <c:v>50000</c:v>
                </c:pt>
                <c:pt idx="52">
                  <c:v>50000</c:v>
                </c:pt>
                <c:pt idx="53">
                  <c:v>750000</c:v>
                </c:pt>
                <c:pt idx="54">
                  <c:v>750000</c:v>
                </c:pt>
                <c:pt idx="55">
                  <c:v>4900</c:v>
                </c:pt>
                <c:pt idx="56">
                  <c:v>6050</c:v>
                </c:pt>
                <c:pt idx="57">
                  <c:v>5200</c:v>
                </c:pt>
                <c:pt idx="58">
                  <c:v>2750</c:v>
                </c:pt>
                <c:pt idx="59">
                  <c:v>3000</c:v>
                </c:pt>
                <c:pt idx="60">
                  <c:v>117000</c:v>
                </c:pt>
                <c:pt idx="61">
                  <c:v>12220</c:v>
                </c:pt>
                <c:pt idx="62">
                  <c:v>4800</c:v>
                </c:pt>
                <c:pt idx="63">
                  <c:v>8000</c:v>
                </c:pt>
                <c:pt idx="64">
                  <c:v>928300</c:v>
                </c:pt>
                <c:pt idx="65">
                  <c:v>825000</c:v>
                </c:pt>
                <c:pt idx="66">
                  <c:v>800</c:v>
                </c:pt>
                <c:pt idx="67">
                  <c:v>25792</c:v>
                </c:pt>
                <c:pt idx="68">
                  <c:v>0</c:v>
                </c:pt>
                <c:pt idx="69">
                  <c:v>320964</c:v>
                </c:pt>
                <c:pt idx="70">
                  <c:v>10520</c:v>
                </c:pt>
                <c:pt idx="71">
                  <c:v>15000</c:v>
                </c:pt>
                <c:pt idx="72">
                  <c:v>8860</c:v>
                </c:pt>
                <c:pt idx="73">
                  <c:v>7021</c:v>
                </c:pt>
                <c:pt idx="74">
                  <c:v>40000</c:v>
                </c:pt>
                <c:pt idx="75">
                  <c:v>5000</c:v>
                </c:pt>
                <c:pt idx="76">
                  <c:v>3000</c:v>
                </c:pt>
                <c:pt idx="77">
                  <c:v>15000</c:v>
                </c:pt>
                <c:pt idx="78">
                  <c:v>154000</c:v>
                </c:pt>
                <c:pt idx="79">
                  <c:v>245000</c:v>
                </c:pt>
                <c:pt idx="80">
                  <c:v>3631</c:v>
                </c:pt>
                <c:pt idx="81">
                  <c:v>38900</c:v>
                </c:pt>
                <c:pt idx="82">
                  <c:v>11000</c:v>
                </c:pt>
                <c:pt idx="83">
                  <c:v>33000</c:v>
                </c:pt>
                <c:pt idx="84">
                  <c:v>3000</c:v>
                </c:pt>
                <c:pt idx="85">
                  <c:v>1800</c:v>
                </c:pt>
                <c:pt idx="86">
                  <c:v>20000</c:v>
                </c:pt>
                <c:pt idx="87">
                  <c:v>6935</c:v>
                </c:pt>
              </c:numCache>
            </c:numRef>
          </c:xVal>
          <c:yVal>
            <c:numRef>
              <c:f>'Task Durations'!$D$39:$CO$39</c:f>
              <c:numCache>
                <c:formatCode>0.00</c:formatCode>
                <c:ptCount val="90"/>
                <c:pt idx="0">
                  <c:v>61.266666666666666</c:v>
                </c:pt>
                <c:pt idx="1">
                  <c:v>56.166000000000004</c:v>
                </c:pt>
                <c:pt idx="2">
                  <c:v>70.533333333333331</c:v>
                </c:pt>
                <c:pt idx="3">
                  <c:v>49.417999999999992</c:v>
                </c:pt>
                <c:pt idx="4">
                  <c:v>43.149000000000001</c:v>
                </c:pt>
                <c:pt idx="5">
                  <c:v>46.466666666666669</c:v>
                </c:pt>
                <c:pt idx="6">
                  <c:v>75.716666666666669</c:v>
                </c:pt>
                <c:pt idx="7">
                  <c:v>73.432999999999993</c:v>
                </c:pt>
                <c:pt idx="8">
                  <c:v>47.783799999999999</c:v>
                </c:pt>
                <c:pt idx="9">
                  <c:v>80.566000000000003</c:v>
                </c:pt>
                <c:pt idx="10">
                  <c:v>64.450699999999998</c:v>
                </c:pt>
                <c:pt idx="11">
                  <c:v>51.716999999999999</c:v>
                </c:pt>
                <c:pt idx="12">
                  <c:v>54.8</c:v>
                </c:pt>
                <c:pt idx="13">
                  <c:v>76.899999999999991</c:v>
                </c:pt>
                <c:pt idx="14">
                  <c:v>34.999299999999998</c:v>
                </c:pt>
                <c:pt idx="15">
                  <c:v>33.485500000000002</c:v>
                </c:pt>
                <c:pt idx="16">
                  <c:v>61.718000000000004</c:v>
                </c:pt>
                <c:pt idx="17">
                  <c:v>67.316699999999997</c:v>
                </c:pt>
                <c:pt idx="18">
                  <c:v>98.349000000000004</c:v>
                </c:pt>
                <c:pt idx="19">
                  <c:v>46.366300000000003</c:v>
                </c:pt>
                <c:pt idx="20">
                  <c:v>54.800300000000007</c:v>
                </c:pt>
                <c:pt idx="21">
                  <c:v>70.031700000000001</c:v>
                </c:pt>
                <c:pt idx="22">
                  <c:v>44.38000000000001</c:v>
                </c:pt>
                <c:pt idx="23">
                  <c:v>46.533000000000001</c:v>
                </c:pt>
                <c:pt idx="24">
                  <c:v>70.516999999999996</c:v>
                </c:pt>
                <c:pt idx="25">
                  <c:v>41.092500000000001</c:v>
                </c:pt>
                <c:pt idx="26">
                  <c:v>36.201300000000003</c:v>
                </c:pt>
                <c:pt idx="27">
                  <c:v>63.453000000000003</c:v>
                </c:pt>
                <c:pt idx="28">
                  <c:v>57.500700000000002</c:v>
                </c:pt>
                <c:pt idx="29">
                  <c:v>57.032300000000006</c:v>
                </c:pt>
                <c:pt idx="30">
                  <c:v>49.916300000000007</c:v>
                </c:pt>
                <c:pt idx="31">
                  <c:v>64.800700000000006</c:v>
                </c:pt>
                <c:pt idx="32">
                  <c:v>64.804000000000002</c:v>
                </c:pt>
                <c:pt idx="33">
                  <c:v>64.566000000000003</c:v>
                </c:pt>
                <c:pt idx="34">
                  <c:v>80.467999999999989</c:v>
                </c:pt>
                <c:pt idx="35">
                  <c:v>48.900000000000006</c:v>
                </c:pt>
                <c:pt idx="36">
                  <c:v>71.321999999999989</c:v>
                </c:pt>
                <c:pt idx="37">
                  <c:v>71.13130000000001</c:v>
                </c:pt>
                <c:pt idx="38">
                  <c:v>61.583000000000006</c:v>
                </c:pt>
                <c:pt idx="39">
                  <c:v>46.183399999999999</c:v>
                </c:pt>
                <c:pt idx="40">
                  <c:v>42.018000000000001</c:v>
                </c:pt>
                <c:pt idx="41">
                  <c:v>79.229500000000002</c:v>
                </c:pt>
                <c:pt idx="42">
                  <c:v>54.149999999999991</c:v>
                </c:pt>
                <c:pt idx="43">
                  <c:v>55.582999999999998</c:v>
                </c:pt>
                <c:pt idx="44">
                  <c:v>54.740299999999998</c:v>
                </c:pt>
                <c:pt idx="45">
                  <c:v>81.401299999999992</c:v>
                </c:pt>
                <c:pt idx="46">
                  <c:v>79.084000000000003</c:v>
                </c:pt>
                <c:pt idx="47">
                  <c:v>43.399000000000001</c:v>
                </c:pt>
                <c:pt idx="48">
                  <c:v>61.681700000000006</c:v>
                </c:pt>
                <c:pt idx="49">
                  <c:v>76.699299999999994</c:v>
                </c:pt>
                <c:pt idx="50">
                  <c:v>47.850000000000009</c:v>
                </c:pt>
                <c:pt idx="51">
                  <c:v>61.932700000000004</c:v>
                </c:pt>
                <c:pt idx="52">
                  <c:v>61.565999999999995</c:v>
                </c:pt>
                <c:pt idx="53">
                  <c:v>56.132599999999996</c:v>
                </c:pt>
                <c:pt idx="54">
                  <c:v>47.650000000000006</c:v>
                </c:pt>
                <c:pt idx="55">
                  <c:v>54.143199999999993</c:v>
                </c:pt>
                <c:pt idx="56">
                  <c:v>54.3</c:v>
                </c:pt>
                <c:pt idx="57">
                  <c:v>35.893299999999996</c:v>
                </c:pt>
                <c:pt idx="58">
                  <c:v>52.817</c:v>
                </c:pt>
                <c:pt idx="59">
                  <c:v>25.183</c:v>
                </c:pt>
                <c:pt idx="60">
                  <c:v>60.895499999999998</c:v>
                </c:pt>
                <c:pt idx="61">
                  <c:v>29.333300000000001</c:v>
                </c:pt>
                <c:pt idx="62">
                  <c:v>73.105699999999999</c:v>
                </c:pt>
                <c:pt idx="63">
                  <c:v>58.016300000000001</c:v>
                </c:pt>
                <c:pt idx="64">
                  <c:v>93.847000000000008</c:v>
                </c:pt>
                <c:pt idx="65">
                  <c:v>37</c:v>
                </c:pt>
                <c:pt idx="66">
                  <c:v>48.78370000000001</c:v>
                </c:pt>
                <c:pt idx="67">
                  <c:v>53.841699999999989</c:v>
                </c:pt>
                <c:pt idx="68">
                  <c:v>59.05</c:v>
                </c:pt>
                <c:pt idx="69">
                  <c:v>82.999300000000005</c:v>
                </c:pt>
                <c:pt idx="70">
                  <c:v>69.300300000000007</c:v>
                </c:pt>
                <c:pt idx="71">
                  <c:v>66.10029999999999</c:v>
                </c:pt>
                <c:pt idx="72">
                  <c:v>32.9</c:v>
                </c:pt>
                <c:pt idx="73">
                  <c:v>24.100300000000004</c:v>
                </c:pt>
                <c:pt idx="74">
                  <c:v>53.815700000000007</c:v>
                </c:pt>
                <c:pt idx="75">
                  <c:v>19.816699999999997</c:v>
                </c:pt>
                <c:pt idx="76">
                  <c:v>82.15</c:v>
                </c:pt>
                <c:pt idx="77">
                  <c:v>65.984000000000009</c:v>
                </c:pt>
                <c:pt idx="78">
                  <c:v>50.569000000000003</c:v>
                </c:pt>
                <c:pt idx="79">
                  <c:v>17.433</c:v>
                </c:pt>
                <c:pt idx="80">
                  <c:v>38.099299999999999</c:v>
                </c:pt>
                <c:pt idx="81">
                  <c:v>76.700299999999999</c:v>
                </c:pt>
                <c:pt idx="82">
                  <c:v>71.432999999999993</c:v>
                </c:pt>
                <c:pt idx="83">
                  <c:v>85.5</c:v>
                </c:pt>
                <c:pt idx="84">
                  <c:v>51.633000000000003</c:v>
                </c:pt>
                <c:pt idx="85">
                  <c:v>76</c:v>
                </c:pt>
                <c:pt idx="86">
                  <c:v>82.367499999999993</c:v>
                </c:pt>
                <c:pt idx="87">
                  <c:v>57.281999999999996</c:v>
                </c:pt>
              </c:numCache>
            </c:numRef>
          </c:yVal>
          <c:smooth val="0"/>
        </c:ser>
        <c:dLbls>
          <c:showLegendKey val="0"/>
          <c:showVal val="0"/>
          <c:showCatName val="0"/>
          <c:showSerName val="0"/>
          <c:showPercent val="0"/>
          <c:showBubbleSize val="0"/>
        </c:dLbls>
        <c:axId val="81836672"/>
        <c:axId val="80569088"/>
      </c:scatterChart>
      <c:valAx>
        <c:axId val="81836672"/>
        <c:scaling>
          <c:orientation val="minMax"/>
        </c:scaling>
        <c:delete val="0"/>
        <c:axPos val="b"/>
        <c:majorGridlines/>
        <c:title>
          <c:tx>
            <c:rich>
              <a:bodyPr/>
              <a:lstStyle/>
              <a:p>
                <a:pPr>
                  <a:defRPr sz="1600"/>
                </a:pPr>
                <a:r>
                  <a:rPr lang="en-US" sz="1600"/>
                  <a:t>Establishment Inspection</a:t>
                </a:r>
                <a:r>
                  <a:rPr lang="en-US" sz="1600" baseline="0"/>
                  <a:t> Area (sqft)</a:t>
                </a:r>
                <a:endParaRPr lang="en-US" sz="1600"/>
              </a:p>
            </c:rich>
          </c:tx>
          <c:layout/>
          <c:overlay val="0"/>
        </c:title>
        <c:numFmt formatCode="General" sourceLinked="1"/>
        <c:majorTickMark val="out"/>
        <c:minorTickMark val="none"/>
        <c:tickLblPos val="nextTo"/>
        <c:crossAx val="80569088"/>
        <c:crosses val="autoZero"/>
        <c:crossBetween val="midCat"/>
      </c:valAx>
      <c:valAx>
        <c:axId val="80569088"/>
        <c:scaling>
          <c:orientation val="minMax"/>
        </c:scaling>
        <c:delete val="0"/>
        <c:axPos val="l"/>
        <c:majorGridlines/>
        <c:title>
          <c:tx>
            <c:rich>
              <a:bodyPr rot="0" vert="horz"/>
              <a:lstStyle/>
              <a:p>
                <a:pPr>
                  <a:defRPr sz="1600"/>
                </a:pPr>
                <a:r>
                  <a:rPr lang="en-US" sz="1600"/>
                  <a:t>Time
(Minutes)</a:t>
                </a:r>
              </a:p>
            </c:rich>
          </c:tx>
          <c:layout/>
          <c:overlay val="0"/>
        </c:title>
        <c:numFmt formatCode="0.00" sourceLinked="1"/>
        <c:majorTickMark val="out"/>
        <c:minorTickMark val="none"/>
        <c:tickLblPos val="nextTo"/>
        <c:crossAx val="81836672"/>
        <c:crosses val="autoZero"/>
        <c:crossBetween val="midCat"/>
      </c:valAx>
    </c:plotArea>
    <c:plotVisOnly val="1"/>
    <c:dispBlanksAs val="gap"/>
    <c:showDLblsOverMax val="0"/>
  </c:chart>
  <c:printSettings>
    <c:headerFooter/>
    <c:pageMargins b="0.75000000000000133" l="0.70000000000000062" r="0.70000000000000062" t="0.7500000000000013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a:pPr>
            <a:r>
              <a:rPr lang="en-US" sz="2400"/>
              <a:t>Total</a:t>
            </a:r>
            <a:r>
              <a:rPr lang="en-US" sz="2400" baseline="0"/>
              <a:t> Direct &amp; Indirect Time to Complete MT60, by Plant Size</a:t>
            </a:r>
          </a:p>
          <a:p>
            <a:pPr>
              <a:defRPr sz="2400"/>
            </a:pPr>
            <a:r>
              <a:rPr lang="en-US" sz="2400" baseline="0"/>
              <a:t>(Logarithmic scale)</a:t>
            </a:r>
          </a:p>
        </c:rich>
      </c:tx>
      <c:layout/>
      <c:overlay val="0"/>
    </c:title>
    <c:autoTitleDeleted val="0"/>
    <c:plotArea>
      <c:layout/>
      <c:scatterChart>
        <c:scatterStyle val="lineMarker"/>
        <c:varyColors val="0"/>
        <c:ser>
          <c:idx val="1"/>
          <c:order val="0"/>
          <c:spPr>
            <a:ln w="28575">
              <a:noFill/>
            </a:ln>
          </c:spPr>
          <c:xVal>
            <c:numRef>
              <c:f>'Task Durations'!$D$9:$CO$9</c:f>
              <c:numCache>
                <c:formatCode>General</c:formatCode>
                <c:ptCount val="90"/>
                <c:pt idx="0">
                  <c:v>35000</c:v>
                </c:pt>
                <c:pt idx="1">
                  <c:v>61000</c:v>
                </c:pt>
                <c:pt idx="2">
                  <c:v>14000</c:v>
                </c:pt>
                <c:pt idx="3">
                  <c:v>170000</c:v>
                </c:pt>
                <c:pt idx="4">
                  <c:v>4750</c:v>
                </c:pt>
                <c:pt idx="5">
                  <c:v>118000</c:v>
                </c:pt>
                <c:pt idx="6">
                  <c:v>3880</c:v>
                </c:pt>
                <c:pt idx="7">
                  <c:v>7000</c:v>
                </c:pt>
                <c:pt idx="8">
                  <c:v>2400</c:v>
                </c:pt>
                <c:pt idx="9">
                  <c:v>7764</c:v>
                </c:pt>
                <c:pt idx="10">
                  <c:v>3450</c:v>
                </c:pt>
                <c:pt idx="11">
                  <c:v>6000</c:v>
                </c:pt>
                <c:pt idx="12">
                  <c:v>223200</c:v>
                </c:pt>
                <c:pt idx="13">
                  <c:v>45000</c:v>
                </c:pt>
                <c:pt idx="14">
                  <c:v>16000</c:v>
                </c:pt>
                <c:pt idx="15">
                  <c:v>1000</c:v>
                </c:pt>
                <c:pt idx="16">
                  <c:v>7000</c:v>
                </c:pt>
                <c:pt idx="17">
                  <c:v>2500</c:v>
                </c:pt>
                <c:pt idx="18">
                  <c:v>20000</c:v>
                </c:pt>
                <c:pt idx="19">
                  <c:v>29568</c:v>
                </c:pt>
                <c:pt idx="20">
                  <c:v>10000</c:v>
                </c:pt>
                <c:pt idx="21">
                  <c:v>566670</c:v>
                </c:pt>
                <c:pt idx="22">
                  <c:v>500000</c:v>
                </c:pt>
                <c:pt idx="23">
                  <c:v>3600</c:v>
                </c:pt>
                <c:pt idx="24">
                  <c:v>11579</c:v>
                </c:pt>
                <c:pt idx="25">
                  <c:v>3821</c:v>
                </c:pt>
                <c:pt idx="26">
                  <c:v>3328</c:v>
                </c:pt>
                <c:pt idx="27">
                  <c:v>268000</c:v>
                </c:pt>
                <c:pt idx="28">
                  <c:v>121200</c:v>
                </c:pt>
                <c:pt idx="29">
                  <c:v>524000</c:v>
                </c:pt>
                <c:pt idx="30">
                  <c:v>3200</c:v>
                </c:pt>
                <c:pt idx="31">
                  <c:v>300</c:v>
                </c:pt>
                <c:pt idx="32">
                  <c:v>143220</c:v>
                </c:pt>
                <c:pt idx="33">
                  <c:v>750000</c:v>
                </c:pt>
                <c:pt idx="34">
                  <c:v>18500</c:v>
                </c:pt>
                <c:pt idx="35">
                  <c:v>54000</c:v>
                </c:pt>
                <c:pt idx="36">
                  <c:v>2850</c:v>
                </c:pt>
                <c:pt idx="37">
                  <c:v>3225</c:v>
                </c:pt>
                <c:pt idx="38">
                  <c:v>9800</c:v>
                </c:pt>
                <c:pt idx="39">
                  <c:v>27958</c:v>
                </c:pt>
                <c:pt idx="40">
                  <c:v>738038</c:v>
                </c:pt>
                <c:pt idx="41">
                  <c:v>11000</c:v>
                </c:pt>
                <c:pt idx="42">
                  <c:v>153395</c:v>
                </c:pt>
                <c:pt idx="43">
                  <c:v>688202</c:v>
                </c:pt>
                <c:pt idx="44">
                  <c:v>4000</c:v>
                </c:pt>
                <c:pt idx="45">
                  <c:v>9200</c:v>
                </c:pt>
                <c:pt idx="46">
                  <c:v>380489</c:v>
                </c:pt>
                <c:pt idx="47">
                  <c:v>22000</c:v>
                </c:pt>
                <c:pt idx="48">
                  <c:v>474000</c:v>
                </c:pt>
                <c:pt idx="49">
                  <c:v>50000</c:v>
                </c:pt>
                <c:pt idx="50">
                  <c:v>0</c:v>
                </c:pt>
                <c:pt idx="51">
                  <c:v>50000</c:v>
                </c:pt>
                <c:pt idx="52">
                  <c:v>50000</c:v>
                </c:pt>
                <c:pt idx="53">
                  <c:v>750000</c:v>
                </c:pt>
                <c:pt idx="54">
                  <c:v>750000</c:v>
                </c:pt>
                <c:pt idx="55">
                  <c:v>4900</c:v>
                </c:pt>
                <c:pt idx="56">
                  <c:v>6050</c:v>
                </c:pt>
                <c:pt idx="57">
                  <c:v>5200</c:v>
                </c:pt>
                <c:pt idx="58">
                  <c:v>2750</c:v>
                </c:pt>
                <c:pt idx="59">
                  <c:v>3000</c:v>
                </c:pt>
                <c:pt idx="60">
                  <c:v>117000</c:v>
                </c:pt>
                <c:pt idx="61">
                  <c:v>12220</c:v>
                </c:pt>
                <c:pt idx="62">
                  <c:v>4800</c:v>
                </c:pt>
                <c:pt idx="63">
                  <c:v>8000</c:v>
                </c:pt>
                <c:pt idx="64">
                  <c:v>928300</c:v>
                </c:pt>
                <c:pt idx="65">
                  <c:v>825000</c:v>
                </c:pt>
                <c:pt idx="66">
                  <c:v>800</c:v>
                </c:pt>
                <c:pt idx="67">
                  <c:v>25792</c:v>
                </c:pt>
                <c:pt idx="68">
                  <c:v>0</c:v>
                </c:pt>
                <c:pt idx="69">
                  <c:v>320964</c:v>
                </c:pt>
                <c:pt idx="70">
                  <c:v>10520</c:v>
                </c:pt>
                <c:pt idx="71">
                  <c:v>15000</c:v>
                </c:pt>
                <c:pt idx="72">
                  <c:v>8860</c:v>
                </c:pt>
                <c:pt idx="73">
                  <c:v>7021</c:v>
                </c:pt>
                <c:pt idx="74">
                  <c:v>40000</c:v>
                </c:pt>
                <c:pt idx="75">
                  <c:v>5000</c:v>
                </c:pt>
                <c:pt idx="76">
                  <c:v>3000</c:v>
                </c:pt>
                <c:pt idx="77">
                  <c:v>15000</c:v>
                </c:pt>
                <c:pt idx="78">
                  <c:v>154000</c:v>
                </c:pt>
                <c:pt idx="79">
                  <c:v>245000</c:v>
                </c:pt>
                <c:pt idx="80">
                  <c:v>3631</c:v>
                </c:pt>
                <c:pt idx="81">
                  <c:v>38900</c:v>
                </c:pt>
                <c:pt idx="82">
                  <c:v>11000</c:v>
                </c:pt>
                <c:pt idx="83">
                  <c:v>33000</c:v>
                </c:pt>
                <c:pt idx="84">
                  <c:v>3000</c:v>
                </c:pt>
                <c:pt idx="85">
                  <c:v>1800</c:v>
                </c:pt>
                <c:pt idx="86">
                  <c:v>20000</c:v>
                </c:pt>
                <c:pt idx="87">
                  <c:v>6935</c:v>
                </c:pt>
              </c:numCache>
            </c:numRef>
          </c:xVal>
          <c:yVal>
            <c:numRef>
              <c:f>'Task Durations'!$D$39:$CO$39</c:f>
              <c:numCache>
                <c:formatCode>0.00</c:formatCode>
                <c:ptCount val="90"/>
                <c:pt idx="0">
                  <c:v>61.266666666666666</c:v>
                </c:pt>
                <c:pt idx="1">
                  <c:v>56.166000000000004</c:v>
                </c:pt>
                <c:pt idx="2">
                  <c:v>70.533333333333331</c:v>
                </c:pt>
                <c:pt idx="3">
                  <c:v>49.417999999999992</c:v>
                </c:pt>
                <c:pt idx="4">
                  <c:v>43.149000000000001</c:v>
                </c:pt>
                <c:pt idx="5">
                  <c:v>46.466666666666669</c:v>
                </c:pt>
                <c:pt idx="6">
                  <c:v>75.716666666666669</c:v>
                </c:pt>
                <c:pt idx="7">
                  <c:v>73.432999999999993</c:v>
                </c:pt>
                <c:pt idx="8">
                  <c:v>47.783799999999999</c:v>
                </c:pt>
                <c:pt idx="9">
                  <c:v>80.566000000000003</c:v>
                </c:pt>
                <c:pt idx="10">
                  <c:v>64.450699999999998</c:v>
                </c:pt>
                <c:pt idx="11">
                  <c:v>51.716999999999999</c:v>
                </c:pt>
                <c:pt idx="12">
                  <c:v>54.8</c:v>
                </c:pt>
                <c:pt idx="13">
                  <c:v>76.899999999999991</c:v>
                </c:pt>
                <c:pt idx="14">
                  <c:v>34.999299999999998</c:v>
                </c:pt>
                <c:pt idx="15">
                  <c:v>33.485500000000002</c:v>
                </c:pt>
                <c:pt idx="16">
                  <c:v>61.718000000000004</c:v>
                </c:pt>
                <c:pt idx="17">
                  <c:v>67.316699999999997</c:v>
                </c:pt>
                <c:pt idx="18">
                  <c:v>98.349000000000004</c:v>
                </c:pt>
                <c:pt idx="19">
                  <c:v>46.366300000000003</c:v>
                </c:pt>
                <c:pt idx="20">
                  <c:v>54.800300000000007</c:v>
                </c:pt>
                <c:pt idx="21">
                  <c:v>70.031700000000001</c:v>
                </c:pt>
                <c:pt idx="22">
                  <c:v>44.38000000000001</c:v>
                </c:pt>
                <c:pt idx="23">
                  <c:v>46.533000000000001</c:v>
                </c:pt>
                <c:pt idx="24">
                  <c:v>70.516999999999996</c:v>
                </c:pt>
                <c:pt idx="25">
                  <c:v>41.092500000000001</c:v>
                </c:pt>
                <c:pt idx="26">
                  <c:v>36.201300000000003</c:v>
                </c:pt>
                <c:pt idx="27">
                  <c:v>63.453000000000003</c:v>
                </c:pt>
                <c:pt idx="28">
                  <c:v>57.500700000000002</c:v>
                </c:pt>
                <c:pt idx="29">
                  <c:v>57.032300000000006</c:v>
                </c:pt>
                <c:pt idx="30">
                  <c:v>49.916300000000007</c:v>
                </c:pt>
                <c:pt idx="31">
                  <c:v>64.800700000000006</c:v>
                </c:pt>
                <c:pt idx="32">
                  <c:v>64.804000000000002</c:v>
                </c:pt>
                <c:pt idx="33">
                  <c:v>64.566000000000003</c:v>
                </c:pt>
                <c:pt idx="34">
                  <c:v>80.467999999999989</c:v>
                </c:pt>
                <c:pt idx="35">
                  <c:v>48.900000000000006</c:v>
                </c:pt>
                <c:pt idx="36">
                  <c:v>71.321999999999989</c:v>
                </c:pt>
                <c:pt idx="37">
                  <c:v>71.13130000000001</c:v>
                </c:pt>
                <c:pt idx="38">
                  <c:v>61.583000000000006</c:v>
                </c:pt>
                <c:pt idx="39">
                  <c:v>46.183399999999999</c:v>
                </c:pt>
                <c:pt idx="40">
                  <c:v>42.018000000000001</c:v>
                </c:pt>
                <c:pt idx="41">
                  <c:v>79.229500000000002</c:v>
                </c:pt>
                <c:pt idx="42">
                  <c:v>54.149999999999991</c:v>
                </c:pt>
                <c:pt idx="43">
                  <c:v>55.582999999999998</c:v>
                </c:pt>
                <c:pt idx="44">
                  <c:v>54.740299999999998</c:v>
                </c:pt>
                <c:pt idx="45">
                  <c:v>81.401299999999992</c:v>
                </c:pt>
                <c:pt idx="46">
                  <c:v>79.084000000000003</c:v>
                </c:pt>
                <c:pt idx="47">
                  <c:v>43.399000000000001</c:v>
                </c:pt>
                <c:pt idx="48">
                  <c:v>61.681700000000006</c:v>
                </c:pt>
                <c:pt idx="49">
                  <c:v>76.699299999999994</c:v>
                </c:pt>
                <c:pt idx="50">
                  <c:v>47.850000000000009</c:v>
                </c:pt>
                <c:pt idx="51">
                  <c:v>61.932700000000004</c:v>
                </c:pt>
                <c:pt idx="52">
                  <c:v>61.565999999999995</c:v>
                </c:pt>
                <c:pt idx="53">
                  <c:v>56.132599999999996</c:v>
                </c:pt>
                <c:pt idx="54">
                  <c:v>47.650000000000006</c:v>
                </c:pt>
                <c:pt idx="55">
                  <c:v>54.143199999999993</c:v>
                </c:pt>
                <c:pt idx="56">
                  <c:v>54.3</c:v>
                </c:pt>
                <c:pt idx="57">
                  <c:v>35.893299999999996</c:v>
                </c:pt>
                <c:pt idx="58">
                  <c:v>52.817</c:v>
                </c:pt>
                <c:pt idx="59">
                  <c:v>25.183</c:v>
                </c:pt>
                <c:pt idx="60">
                  <c:v>60.895499999999998</c:v>
                </c:pt>
                <c:pt idx="61">
                  <c:v>29.333300000000001</c:v>
                </c:pt>
                <c:pt idx="62">
                  <c:v>73.105699999999999</c:v>
                </c:pt>
                <c:pt idx="63">
                  <c:v>58.016300000000001</c:v>
                </c:pt>
                <c:pt idx="64">
                  <c:v>93.847000000000008</c:v>
                </c:pt>
                <c:pt idx="65">
                  <c:v>37</c:v>
                </c:pt>
                <c:pt idx="66">
                  <c:v>48.78370000000001</c:v>
                </c:pt>
                <c:pt idx="67">
                  <c:v>53.841699999999989</c:v>
                </c:pt>
                <c:pt idx="68">
                  <c:v>59.05</c:v>
                </c:pt>
                <c:pt idx="69">
                  <c:v>82.999300000000005</c:v>
                </c:pt>
                <c:pt idx="70">
                  <c:v>69.300300000000007</c:v>
                </c:pt>
                <c:pt idx="71">
                  <c:v>66.10029999999999</c:v>
                </c:pt>
                <c:pt idx="72">
                  <c:v>32.9</c:v>
                </c:pt>
                <c:pt idx="73">
                  <c:v>24.100300000000004</c:v>
                </c:pt>
                <c:pt idx="74">
                  <c:v>53.815700000000007</c:v>
                </c:pt>
                <c:pt idx="75">
                  <c:v>19.816699999999997</c:v>
                </c:pt>
                <c:pt idx="76">
                  <c:v>82.15</c:v>
                </c:pt>
                <c:pt idx="77">
                  <c:v>65.984000000000009</c:v>
                </c:pt>
                <c:pt idx="78">
                  <c:v>50.569000000000003</c:v>
                </c:pt>
                <c:pt idx="79">
                  <c:v>17.433</c:v>
                </c:pt>
                <c:pt idx="80">
                  <c:v>38.099299999999999</c:v>
                </c:pt>
                <c:pt idx="81">
                  <c:v>76.700299999999999</c:v>
                </c:pt>
                <c:pt idx="82">
                  <c:v>71.432999999999993</c:v>
                </c:pt>
                <c:pt idx="83">
                  <c:v>85.5</c:v>
                </c:pt>
                <c:pt idx="84">
                  <c:v>51.633000000000003</c:v>
                </c:pt>
                <c:pt idx="85">
                  <c:v>76</c:v>
                </c:pt>
                <c:pt idx="86">
                  <c:v>82.367499999999993</c:v>
                </c:pt>
                <c:pt idx="87">
                  <c:v>57.281999999999996</c:v>
                </c:pt>
              </c:numCache>
            </c:numRef>
          </c:yVal>
          <c:smooth val="0"/>
        </c:ser>
        <c:dLbls>
          <c:showLegendKey val="0"/>
          <c:showVal val="0"/>
          <c:showCatName val="0"/>
          <c:showSerName val="0"/>
          <c:showPercent val="0"/>
          <c:showBubbleSize val="0"/>
        </c:dLbls>
        <c:axId val="81597952"/>
        <c:axId val="81599872"/>
      </c:scatterChart>
      <c:valAx>
        <c:axId val="81597952"/>
        <c:scaling>
          <c:logBase val="10"/>
          <c:orientation val="minMax"/>
          <c:min val="100"/>
        </c:scaling>
        <c:delete val="0"/>
        <c:axPos val="b"/>
        <c:majorGridlines/>
        <c:minorGridlines/>
        <c:title>
          <c:tx>
            <c:rich>
              <a:bodyPr/>
              <a:lstStyle/>
              <a:p>
                <a:pPr>
                  <a:defRPr sz="1600"/>
                </a:pPr>
                <a:r>
                  <a:rPr lang="en-US" sz="1600"/>
                  <a:t>Establishment Inspection</a:t>
                </a:r>
                <a:r>
                  <a:rPr lang="en-US" sz="1600" baseline="0"/>
                  <a:t> Area (sqft)</a:t>
                </a:r>
                <a:endParaRPr lang="en-US" sz="1600"/>
              </a:p>
            </c:rich>
          </c:tx>
          <c:layout/>
          <c:overlay val="0"/>
        </c:title>
        <c:numFmt formatCode="General" sourceLinked="1"/>
        <c:majorTickMark val="out"/>
        <c:minorTickMark val="none"/>
        <c:tickLblPos val="nextTo"/>
        <c:crossAx val="81599872"/>
        <c:crosses val="autoZero"/>
        <c:crossBetween val="midCat"/>
      </c:valAx>
      <c:valAx>
        <c:axId val="81599872"/>
        <c:scaling>
          <c:orientation val="minMax"/>
        </c:scaling>
        <c:delete val="0"/>
        <c:axPos val="l"/>
        <c:majorGridlines/>
        <c:title>
          <c:tx>
            <c:rich>
              <a:bodyPr rot="0" vert="horz"/>
              <a:lstStyle/>
              <a:p>
                <a:pPr>
                  <a:defRPr sz="1600"/>
                </a:pPr>
                <a:r>
                  <a:rPr lang="en-US" sz="1600"/>
                  <a:t>Time
(Minutes)</a:t>
                </a:r>
              </a:p>
            </c:rich>
          </c:tx>
          <c:layout/>
          <c:overlay val="0"/>
        </c:title>
        <c:numFmt formatCode="0.00" sourceLinked="1"/>
        <c:majorTickMark val="out"/>
        <c:minorTickMark val="none"/>
        <c:tickLblPos val="nextTo"/>
        <c:crossAx val="81597952"/>
        <c:crosses val="autoZero"/>
        <c:crossBetween val="midCat"/>
      </c:valAx>
    </c:plotArea>
    <c:plotVisOnly val="1"/>
    <c:dispBlanksAs val="gap"/>
    <c:showDLblsOverMax val="0"/>
  </c:chart>
  <c:printSettings>
    <c:headerFooter/>
    <c:pageMargins b="0.75000000000000155" l="0.70000000000000062" r="0.70000000000000062" t="0.75000000000000155"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a:pPr>
            <a:r>
              <a:rPr lang="en-US" sz="2000"/>
              <a:t>Indirect Multiplier</a:t>
            </a:r>
          </a:p>
        </c:rich>
      </c:tx>
      <c:layout/>
      <c:overlay val="0"/>
    </c:title>
    <c:autoTitleDeleted val="0"/>
    <c:plotArea>
      <c:layout/>
      <c:scatterChart>
        <c:scatterStyle val="lineMarker"/>
        <c:varyColors val="0"/>
        <c:ser>
          <c:idx val="0"/>
          <c:order val="0"/>
          <c:tx>
            <c:v>Small Plants</c:v>
          </c:tx>
          <c:spPr>
            <a:ln w="28575">
              <a:noFill/>
            </a:ln>
          </c:spPr>
          <c:xVal>
            <c:numRef>
              <c:f>'Indirect vs Direct'!$C$8:$CK$8</c:f>
              <c:numCache>
                <c:formatCode>0.00</c:formatCode>
                <c:ptCount val="87"/>
                <c:pt idx="0">
                  <c:v>#N/A</c:v>
                </c:pt>
                <c:pt idx="1">
                  <c:v>#N/A</c:v>
                </c:pt>
                <c:pt idx="2">
                  <c:v>#N/A</c:v>
                </c:pt>
                <c:pt idx="3">
                  <c:v>#N/A</c:v>
                </c:pt>
                <c:pt idx="4">
                  <c:v>25.465999999999998</c:v>
                </c:pt>
                <c:pt idx="5">
                  <c:v>#N/A</c:v>
                </c:pt>
                <c:pt idx="6">
                  <c:v>57.766666666666666</c:v>
                </c:pt>
                <c:pt idx="7">
                  <c:v>#N/A</c:v>
                </c:pt>
                <c:pt idx="8">
                  <c:v>29.419</c:v>
                </c:pt>
                <c:pt idx="9">
                  <c:v>#N/A</c:v>
                </c:pt>
                <c:pt idx="10">
                  <c:v>36.5837</c:v>
                </c:pt>
                <c:pt idx="11">
                  <c:v>#N/A</c:v>
                </c:pt>
                <c:pt idx="12">
                  <c:v>#N/A</c:v>
                </c:pt>
                <c:pt idx="13">
                  <c:v>#N/A</c:v>
                </c:pt>
                <c:pt idx="14">
                  <c:v>#N/A</c:v>
                </c:pt>
                <c:pt idx="15">
                  <c:v>19.420999999999999</c:v>
                </c:pt>
                <c:pt idx="16">
                  <c:v>#N/A</c:v>
                </c:pt>
                <c:pt idx="17">
                  <c:v>40.149700000000003</c:v>
                </c:pt>
                <c:pt idx="18">
                  <c:v>#N/A</c:v>
                </c:pt>
                <c:pt idx="19">
                  <c:v>#N/A</c:v>
                </c:pt>
                <c:pt idx="20">
                  <c:v>#N/A</c:v>
                </c:pt>
                <c:pt idx="21">
                  <c:v>#N/A</c:v>
                </c:pt>
                <c:pt idx="22">
                  <c:v>#N/A</c:v>
                </c:pt>
                <c:pt idx="23">
                  <c:v>15.433</c:v>
                </c:pt>
                <c:pt idx="24">
                  <c:v>#N/A</c:v>
                </c:pt>
                <c:pt idx="25">
                  <c:v>27.739000000000001</c:v>
                </c:pt>
                <c:pt idx="26">
                  <c:v>23.023300000000003</c:v>
                </c:pt>
                <c:pt idx="27">
                  <c:v>#N/A</c:v>
                </c:pt>
                <c:pt idx="28">
                  <c:v>#N/A</c:v>
                </c:pt>
                <c:pt idx="29">
                  <c:v>#N/A</c:v>
                </c:pt>
                <c:pt idx="30">
                  <c:v>29.700000000000003</c:v>
                </c:pt>
                <c:pt idx="31">
                  <c:v>43.500700000000002</c:v>
                </c:pt>
                <c:pt idx="32">
                  <c:v>#N/A</c:v>
                </c:pt>
                <c:pt idx="33">
                  <c:v>#N/A</c:v>
                </c:pt>
                <c:pt idx="34">
                  <c:v>#N/A</c:v>
                </c:pt>
                <c:pt idx="35">
                  <c:v>#N/A</c:v>
                </c:pt>
                <c:pt idx="36">
                  <c:v>39.349999999999994</c:v>
                </c:pt>
                <c:pt idx="37">
                  <c:v>40.414999999999999</c:v>
                </c:pt>
                <c:pt idx="38">
                  <c:v>#N/A</c:v>
                </c:pt>
                <c:pt idx="39">
                  <c:v>#N/A</c:v>
                </c:pt>
                <c:pt idx="40">
                  <c:v>#N/A</c:v>
                </c:pt>
                <c:pt idx="41">
                  <c:v>#N/A</c:v>
                </c:pt>
                <c:pt idx="42">
                  <c:v>#N/A</c:v>
                </c:pt>
                <c:pt idx="43">
                  <c:v>#N/A</c:v>
                </c:pt>
                <c:pt idx="44">
                  <c:v>20.515999999999998</c:v>
                </c:pt>
                <c:pt idx="45">
                  <c:v>#N/A</c:v>
                </c:pt>
                <c:pt idx="46">
                  <c:v>#N/A</c:v>
                </c:pt>
                <c:pt idx="47">
                  <c:v>#N/A</c:v>
                </c:pt>
                <c:pt idx="48">
                  <c:v>#N/A</c:v>
                </c:pt>
                <c:pt idx="49">
                  <c:v>#N/A</c:v>
                </c:pt>
                <c:pt idx="50">
                  <c:v>#N/A</c:v>
                </c:pt>
                <c:pt idx="51">
                  <c:v>#N/A</c:v>
                </c:pt>
                <c:pt idx="52">
                  <c:v>#N/A</c:v>
                </c:pt>
                <c:pt idx="53">
                  <c:v>#N/A</c:v>
                </c:pt>
                <c:pt idx="54">
                  <c:v>#N/A</c:v>
                </c:pt>
                <c:pt idx="55">
                  <c:v>34.645199999999996</c:v>
                </c:pt>
                <c:pt idx="56">
                  <c:v>#N/A</c:v>
                </c:pt>
                <c:pt idx="57">
                  <c:v>#N/A</c:v>
                </c:pt>
                <c:pt idx="58">
                  <c:v>25.966999999999999</c:v>
                </c:pt>
                <c:pt idx="59">
                  <c:v>13.1</c:v>
                </c:pt>
                <c:pt idx="60">
                  <c:v>#N/A</c:v>
                </c:pt>
                <c:pt idx="61">
                  <c:v>#N/A</c:v>
                </c:pt>
                <c:pt idx="62">
                  <c:v>31.0717</c:v>
                </c:pt>
                <c:pt idx="63">
                  <c:v>#N/A</c:v>
                </c:pt>
                <c:pt idx="64">
                  <c:v>#N/A</c:v>
                </c:pt>
                <c:pt idx="65">
                  <c:v>#N/A</c:v>
                </c:pt>
                <c:pt idx="66">
                  <c:v>33.483700000000006</c:v>
                </c:pt>
                <c:pt idx="67">
                  <c:v>#N/A</c:v>
                </c:pt>
                <c:pt idx="68">
                  <c:v>#N/A</c:v>
                </c:pt>
                <c:pt idx="69">
                  <c:v>#N/A</c:v>
                </c:pt>
                <c:pt idx="70">
                  <c:v>#N/A</c:v>
                </c:pt>
                <c:pt idx="71">
                  <c:v>#N/A</c:v>
                </c:pt>
                <c:pt idx="72">
                  <c:v>#N/A</c:v>
                </c:pt>
                <c:pt idx="73">
                  <c:v>#N/A</c:v>
                </c:pt>
                <c:pt idx="74">
                  <c:v>#N/A</c:v>
                </c:pt>
                <c:pt idx="75">
                  <c:v>6.2006999999999994</c:v>
                </c:pt>
                <c:pt idx="76">
                  <c:v>48.466999999999999</c:v>
                </c:pt>
                <c:pt idx="77">
                  <c:v>#N/A</c:v>
                </c:pt>
                <c:pt idx="78">
                  <c:v>#N/A</c:v>
                </c:pt>
                <c:pt idx="79">
                  <c:v>#N/A</c:v>
                </c:pt>
                <c:pt idx="80">
                  <c:v>18.533000000000001</c:v>
                </c:pt>
                <c:pt idx="81">
                  <c:v>#N/A</c:v>
                </c:pt>
                <c:pt idx="82">
                  <c:v>#N/A</c:v>
                </c:pt>
                <c:pt idx="83">
                  <c:v>#N/A</c:v>
                </c:pt>
                <c:pt idx="84">
                  <c:v>30.383000000000003</c:v>
                </c:pt>
                <c:pt idx="85">
                  <c:v>52.516999999999996</c:v>
                </c:pt>
                <c:pt idx="86">
                  <c:v>#N/A</c:v>
                </c:pt>
              </c:numCache>
            </c:numRef>
          </c:xVal>
          <c:yVal>
            <c:numRef>
              <c:f>'Indirect vs Direct'!$C$11:$CK$11</c:f>
              <c:numCache>
                <c:formatCode>0.00</c:formatCode>
                <c:ptCount val="87"/>
                <c:pt idx="0">
                  <c:v>#N/A</c:v>
                </c:pt>
                <c:pt idx="1">
                  <c:v>#N/A</c:v>
                </c:pt>
                <c:pt idx="2">
                  <c:v>#N/A</c:v>
                </c:pt>
                <c:pt idx="3">
                  <c:v>#N/A</c:v>
                </c:pt>
                <c:pt idx="4">
                  <c:v>17.683</c:v>
                </c:pt>
                <c:pt idx="5">
                  <c:v>#N/A</c:v>
                </c:pt>
                <c:pt idx="6">
                  <c:v>17.95</c:v>
                </c:pt>
                <c:pt idx="7">
                  <c:v>#N/A</c:v>
                </c:pt>
                <c:pt idx="8">
                  <c:v>18.364799999999999</c:v>
                </c:pt>
                <c:pt idx="9">
                  <c:v>#N/A</c:v>
                </c:pt>
                <c:pt idx="10">
                  <c:v>27.867000000000001</c:v>
                </c:pt>
                <c:pt idx="11">
                  <c:v>#N/A</c:v>
                </c:pt>
                <c:pt idx="12">
                  <c:v>#N/A</c:v>
                </c:pt>
                <c:pt idx="13">
                  <c:v>#N/A</c:v>
                </c:pt>
                <c:pt idx="14">
                  <c:v>#N/A</c:v>
                </c:pt>
                <c:pt idx="15">
                  <c:v>14.064499999999999</c:v>
                </c:pt>
                <c:pt idx="16">
                  <c:v>#N/A</c:v>
                </c:pt>
                <c:pt idx="17">
                  <c:v>27.166999999999998</c:v>
                </c:pt>
                <c:pt idx="18">
                  <c:v>#N/A</c:v>
                </c:pt>
                <c:pt idx="19">
                  <c:v>#N/A</c:v>
                </c:pt>
                <c:pt idx="20">
                  <c:v>#N/A</c:v>
                </c:pt>
                <c:pt idx="21">
                  <c:v>#N/A</c:v>
                </c:pt>
                <c:pt idx="22">
                  <c:v>#N/A</c:v>
                </c:pt>
                <c:pt idx="23">
                  <c:v>31.1</c:v>
                </c:pt>
                <c:pt idx="24">
                  <c:v>#N/A</c:v>
                </c:pt>
                <c:pt idx="25">
                  <c:v>13.353499999999999</c:v>
                </c:pt>
                <c:pt idx="26">
                  <c:v>13.178000000000001</c:v>
                </c:pt>
                <c:pt idx="27">
                  <c:v>#N/A</c:v>
                </c:pt>
                <c:pt idx="28">
                  <c:v>#N/A</c:v>
                </c:pt>
                <c:pt idx="29">
                  <c:v>#N/A</c:v>
                </c:pt>
                <c:pt idx="30">
                  <c:v>20.2163</c:v>
                </c:pt>
                <c:pt idx="31">
                  <c:v>21.300000000000004</c:v>
                </c:pt>
                <c:pt idx="32">
                  <c:v>#N/A</c:v>
                </c:pt>
                <c:pt idx="33">
                  <c:v>#N/A</c:v>
                </c:pt>
                <c:pt idx="34">
                  <c:v>#N/A</c:v>
                </c:pt>
                <c:pt idx="35">
                  <c:v>#N/A</c:v>
                </c:pt>
                <c:pt idx="36">
                  <c:v>31.971999999999998</c:v>
                </c:pt>
                <c:pt idx="37">
                  <c:v>30.716300000000004</c:v>
                </c:pt>
                <c:pt idx="38">
                  <c:v>#N/A</c:v>
                </c:pt>
                <c:pt idx="39">
                  <c:v>#N/A</c:v>
                </c:pt>
                <c:pt idx="40">
                  <c:v>#N/A</c:v>
                </c:pt>
                <c:pt idx="41">
                  <c:v>#N/A</c:v>
                </c:pt>
                <c:pt idx="42">
                  <c:v>#N/A</c:v>
                </c:pt>
                <c:pt idx="43">
                  <c:v>#N/A</c:v>
                </c:pt>
                <c:pt idx="44">
                  <c:v>34.224299999999999</c:v>
                </c:pt>
                <c:pt idx="45">
                  <c:v>#N/A</c:v>
                </c:pt>
                <c:pt idx="46">
                  <c:v>#N/A</c:v>
                </c:pt>
                <c:pt idx="47">
                  <c:v>#N/A</c:v>
                </c:pt>
                <c:pt idx="48">
                  <c:v>#N/A</c:v>
                </c:pt>
                <c:pt idx="49">
                  <c:v>#N/A</c:v>
                </c:pt>
                <c:pt idx="50">
                  <c:v>#N/A</c:v>
                </c:pt>
                <c:pt idx="51">
                  <c:v>#N/A</c:v>
                </c:pt>
                <c:pt idx="52">
                  <c:v>#N/A</c:v>
                </c:pt>
                <c:pt idx="53">
                  <c:v>#N/A</c:v>
                </c:pt>
                <c:pt idx="54">
                  <c:v>#N/A</c:v>
                </c:pt>
                <c:pt idx="55">
                  <c:v>19.497999999999998</c:v>
                </c:pt>
                <c:pt idx="56">
                  <c:v>#N/A</c:v>
                </c:pt>
                <c:pt idx="57">
                  <c:v>#N/A</c:v>
                </c:pt>
                <c:pt idx="58">
                  <c:v>26.85</c:v>
                </c:pt>
                <c:pt idx="59">
                  <c:v>12.082999999999998</c:v>
                </c:pt>
                <c:pt idx="60">
                  <c:v>#N/A</c:v>
                </c:pt>
                <c:pt idx="61">
                  <c:v>#N/A</c:v>
                </c:pt>
                <c:pt idx="62">
                  <c:v>42.033999999999999</c:v>
                </c:pt>
                <c:pt idx="63">
                  <c:v>#N/A</c:v>
                </c:pt>
                <c:pt idx="64">
                  <c:v>#N/A</c:v>
                </c:pt>
                <c:pt idx="65">
                  <c:v>#N/A</c:v>
                </c:pt>
                <c:pt idx="66">
                  <c:v>15.3</c:v>
                </c:pt>
                <c:pt idx="67">
                  <c:v>#N/A</c:v>
                </c:pt>
                <c:pt idx="68">
                  <c:v>#N/A</c:v>
                </c:pt>
                <c:pt idx="69">
                  <c:v>#N/A</c:v>
                </c:pt>
                <c:pt idx="70">
                  <c:v>#N/A</c:v>
                </c:pt>
                <c:pt idx="71">
                  <c:v>#N/A</c:v>
                </c:pt>
                <c:pt idx="72">
                  <c:v>#N/A</c:v>
                </c:pt>
                <c:pt idx="73">
                  <c:v>#N/A</c:v>
                </c:pt>
                <c:pt idx="74">
                  <c:v>#N/A</c:v>
                </c:pt>
                <c:pt idx="75">
                  <c:v>13.616</c:v>
                </c:pt>
                <c:pt idx="76">
                  <c:v>33.683</c:v>
                </c:pt>
                <c:pt idx="77">
                  <c:v>#N/A</c:v>
                </c:pt>
                <c:pt idx="78">
                  <c:v>#N/A</c:v>
                </c:pt>
                <c:pt idx="79">
                  <c:v>#N/A</c:v>
                </c:pt>
                <c:pt idx="80">
                  <c:v>19.566299999999998</c:v>
                </c:pt>
                <c:pt idx="81">
                  <c:v>#N/A</c:v>
                </c:pt>
                <c:pt idx="82">
                  <c:v>#N/A</c:v>
                </c:pt>
                <c:pt idx="83">
                  <c:v>#N/A</c:v>
                </c:pt>
                <c:pt idx="84">
                  <c:v>21.25</c:v>
                </c:pt>
                <c:pt idx="85">
                  <c:v>23.483000000000004</c:v>
                </c:pt>
                <c:pt idx="86">
                  <c:v>#N/A</c:v>
                </c:pt>
              </c:numCache>
            </c:numRef>
          </c:yVal>
          <c:smooth val="0"/>
        </c:ser>
        <c:ser>
          <c:idx val="1"/>
          <c:order val="1"/>
          <c:tx>
            <c:v>Medium Plants</c:v>
          </c:tx>
          <c:spPr>
            <a:ln w="28575">
              <a:noFill/>
            </a:ln>
          </c:spPr>
          <c:xVal>
            <c:numRef>
              <c:f>'Indirect vs Direct'!$C$9:$CK$9</c:f>
              <c:numCache>
                <c:formatCode>0.00</c:formatCode>
                <c:ptCount val="87"/>
                <c:pt idx="0">
                  <c:v>#N/A</c:v>
                </c:pt>
                <c:pt idx="1">
                  <c:v>#N/A</c:v>
                </c:pt>
                <c:pt idx="2">
                  <c:v>32.733333333333334</c:v>
                </c:pt>
                <c:pt idx="3">
                  <c:v>#N/A</c:v>
                </c:pt>
                <c:pt idx="4">
                  <c:v>#N/A</c:v>
                </c:pt>
                <c:pt idx="5">
                  <c:v>#N/A</c:v>
                </c:pt>
                <c:pt idx="6">
                  <c:v>#N/A</c:v>
                </c:pt>
                <c:pt idx="7">
                  <c:v>44.332999999999998</c:v>
                </c:pt>
                <c:pt idx="8">
                  <c:v>#N/A</c:v>
                </c:pt>
                <c:pt idx="9">
                  <c:v>41.783000000000001</c:v>
                </c:pt>
                <c:pt idx="10">
                  <c:v>#N/A</c:v>
                </c:pt>
                <c:pt idx="11">
                  <c:v>24.417000000000002</c:v>
                </c:pt>
                <c:pt idx="12">
                  <c:v>#N/A</c:v>
                </c:pt>
                <c:pt idx="13">
                  <c:v>#N/A</c:v>
                </c:pt>
                <c:pt idx="14">
                  <c:v>15.75</c:v>
                </c:pt>
                <c:pt idx="15">
                  <c:v>#N/A</c:v>
                </c:pt>
                <c:pt idx="16">
                  <c:v>35.667000000000002</c:v>
                </c:pt>
                <c:pt idx="17">
                  <c:v>#N/A</c:v>
                </c:pt>
                <c:pt idx="18">
                  <c:v>62.499000000000009</c:v>
                </c:pt>
                <c:pt idx="19">
                  <c:v>31.766300000000001</c:v>
                </c:pt>
                <c:pt idx="20">
                  <c:v>32.850300000000004</c:v>
                </c:pt>
                <c:pt idx="21">
                  <c:v>#N/A</c:v>
                </c:pt>
                <c:pt idx="22">
                  <c:v>#N/A</c:v>
                </c:pt>
                <c:pt idx="23">
                  <c:v>#N/A</c:v>
                </c:pt>
                <c:pt idx="24">
                  <c:v>53.549700000000001</c:v>
                </c:pt>
                <c:pt idx="25">
                  <c:v>#N/A</c:v>
                </c:pt>
                <c:pt idx="26">
                  <c:v>#N/A</c:v>
                </c:pt>
                <c:pt idx="27">
                  <c:v>#N/A</c:v>
                </c:pt>
                <c:pt idx="28">
                  <c:v>#N/A</c:v>
                </c:pt>
                <c:pt idx="29">
                  <c:v>#N/A</c:v>
                </c:pt>
                <c:pt idx="30">
                  <c:v>#N/A</c:v>
                </c:pt>
                <c:pt idx="31">
                  <c:v>#N/A</c:v>
                </c:pt>
                <c:pt idx="32">
                  <c:v>#N/A</c:v>
                </c:pt>
                <c:pt idx="33">
                  <c:v>#N/A</c:v>
                </c:pt>
                <c:pt idx="34">
                  <c:v>52.750999999999998</c:v>
                </c:pt>
                <c:pt idx="35">
                  <c:v>#N/A</c:v>
                </c:pt>
                <c:pt idx="36">
                  <c:v>#N/A</c:v>
                </c:pt>
                <c:pt idx="37">
                  <c:v>#N/A</c:v>
                </c:pt>
                <c:pt idx="38">
                  <c:v>33.766000000000005</c:v>
                </c:pt>
                <c:pt idx="39">
                  <c:v>22.016399999999997</c:v>
                </c:pt>
                <c:pt idx="40">
                  <c:v>#N/A</c:v>
                </c:pt>
                <c:pt idx="41">
                  <c:v>59.820500000000003</c:v>
                </c:pt>
                <c:pt idx="42">
                  <c:v>#N/A</c:v>
                </c:pt>
                <c:pt idx="43">
                  <c:v>#N/A</c:v>
                </c:pt>
                <c:pt idx="44">
                  <c:v>#N/A</c:v>
                </c:pt>
                <c:pt idx="45">
                  <c:v>51.100299999999997</c:v>
                </c:pt>
                <c:pt idx="46">
                  <c:v>#N/A</c:v>
                </c:pt>
                <c:pt idx="47">
                  <c:v>26.166</c:v>
                </c:pt>
                <c:pt idx="48">
                  <c:v>#N/A</c:v>
                </c:pt>
                <c:pt idx="49">
                  <c:v>#N/A</c:v>
                </c:pt>
                <c:pt idx="50">
                  <c:v>#N/A</c:v>
                </c:pt>
                <c:pt idx="51">
                  <c:v>#N/A</c:v>
                </c:pt>
                <c:pt idx="52">
                  <c:v>#N/A</c:v>
                </c:pt>
                <c:pt idx="53">
                  <c:v>#N/A</c:v>
                </c:pt>
                <c:pt idx="54">
                  <c:v>#N/A</c:v>
                </c:pt>
                <c:pt idx="55">
                  <c:v>#N/A</c:v>
                </c:pt>
                <c:pt idx="56">
                  <c:v>36.266299999999994</c:v>
                </c:pt>
                <c:pt idx="57">
                  <c:v>19.541999999999998</c:v>
                </c:pt>
                <c:pt idx="58">
                  <c:v>#N/A</c:v>
                </c:pt>
                <c:pt idx="59">
                  <c:v>#N/A</c:v>
                </c:pt>
                <c:pt idx="60">
                  <c:v>#N/A</c:v>
                </c:pt>
                <c:pt idx="61">
                  <c:v>19.549299999999999</c:v>
                </c:pt>
                <c:pt idx="62">
                  <c:v>#N/A</c:v>
                </c:pt>
                <c:pt idx="63">
                  <c:v>28.6493</c:v>
                </c:pt>
                <c:pt idx="64">
                  <c:v>#N/A</c:v>
                </c:pt>
                <c:pt idx="65">
                  <c:v>#N/A</c:v>
                </c:pt>
                <c:pt idx="66">
                  <c:v>#N/A</c:v>
                </c:pt>
                <c:pt idx="67">
                  <c:v>46.535999999999994</c:v>
                </c:pt>
                <c:pt idx="68">
                  <c:v>#N/A</c:v>
                </c:pt>
                <c:pt idx="69">
                  <c:v>#N/A</c:v>
                </c:pt>
                <c:pt idx="70">
                  <c:v>45.216999999999999</c:v>
                </c:pt>
                <c:pt idx="71">
                  <c:v>46.216999999999992</c:v>
                </c:pt>
                <c:pt idx="72">
                  <c:v>15.716700000000001</c:v>
                </c:pt>
                <c:pt idx="73">
                  <c:v>8.3333000000000013</c:v>
                </c:pt>
                <c:pt idx="74">
                  <c:v>#N/A</c:v>
                </c:pt>
                <c:pt idx="75">
                  <c:v>#N/A</c:v>
                </c:pt>
                <c:pt idx="76">
                  <c:v>#N/A</c:v>
                </c:pt>
                <c:pt idx="77">
                  <c:v>39.884000000000007</c:v>
                </c:pt>
                <c:pt idx="78">
                  <c:v>#N/A</c:v>
                </c:pt>
                <c:pt idx="79">
                  <c:v>#N/A</c:v>
                </c:pt>
                <c:pt idx="80">
                  <c:v>#N/A</c:v>
                </c:pt>
                <c:pt idx="81">
                  <c:v>#N/A</c:v>
                </c:pt>
                <c:pt idx="82">
                  <c:v>27.3</c:v>
                </c:pt>
                <c:pt idx="83">
                  <c:v>#N/A</c:v>
                </c:pt>
                <c:pt idx="84">
                  <c:v>#N/A</c:v>
                </c:pt>
                <c:pt idx="85">
                  <c:v>#N/A</c:v>
                </c:pt>
                <c:pt idx="86">
                  <c:v>67.398499999999999</c:v>
                </c:pt>
              </c:numCache>
            </c:numRef>
          </c:xVal>
          <c:yVal>
            <c:numRef>
              <c:f>'Indirect vs Direct'!$C$12:$CK$12</c:f>
              <c:numCache>
                <c:formatCode>0.00</c:formatCode>
                <c:ptCount val="87"/>
                <c:pt idx="0">
                  <c:v>#N/A</c:v>
                </c:pt>
                <c:pt idx="1">
                  <c:v>#N/A</c:v>
                </c:pt>
                <c:pt idx="2">
                  <c:v>37.800000000000004</c:v>
                </c:pt>
                <c:pt idx="3">
                  <c:v>#N/A</c:v>
                </c:pt>
                <c:pt idx="4">
                  <c:v>#N/A</c:v>
                </c:pt>
                <c:pt idx="5">
                  <c:v>#N/A</c:v>
                </c:pt>
                <c:pt idx="6">
                  <c:v>#N/A</c:v>
                </c:pt>
                <c:pt idx="7">
                  <c:v>29.099999999999998</c:v>
                </c:pt>
                <c:pt idx="8">
                  <c:v>#N/A</c:v>
                </c:pt>
                <c:pt idx="9">
                  <c:v>38.783000000000001</c:v>
                </c:pt>
                <c:pt idx="10">
                  <c:v>#N/A</c:v>
                </c:pt>
                <c:pt idx="11">
                  <c:v>27.299999999999997</c:v>
                </c:pt>
                <c:pt idx="12">
                  <c:v>#N/A</c:v>
                </c:pt>
                <c:pt idx="13">
                  <c:v>#N/A</c:v>
                </c:pt>
                <c:pt idx="14">
                  <c:v>19.249299999999998</c:v>
                </c:pt>
                <c:pt idx="15">
                  <c:v>#N/A</c:v>
                </c:pt>
                <c:pt idx="16">
                  <c:v>26.050999999999998</c:v>
                </c:pt>
                <c:pt idx="17">
                  <c:v>#N/A</c:v>
                </c:pt>
                <c:pt idx="18">
                  <c:v>35.849999999999994</c:v>
                </c:pt>
                <c:pt idx="19">
                  <c:v>14.600000000000001</c:v>
                </c:pt>
                <c:pt idx="20">
                  <c:v>21.95</c:v>
                </c:pt>
                <c:pt idx="21">
                  <c:v>#N/A</c:v>
                </c:pt>
                <c:pt idx="22">
                  <c:v>#N/A</c:v>
                </c:pt>
                <c:pt idx="23">
                  <c:v>#N/A</c:v>
                </c:pt>
                <c:pt idx="24">
                  <c:v>16.967300000000002</c:v>
                </c:pt>
                <c:pt idx="25">
                  <c:v>#N/A</c:v>
                </c:pt>
                <c:pt idx="26">
                  <c:v>#N/A</c:v>
                </c:pt>
                <c:pt idx="27">
                  <c:v>#N/A</c:v>
                </c:pt>
                <c:pt idx="28">
                  <c:v>#N/A</c:v>
                </c:pt>
                <c:pt idx="29">
                  <c:v>#N/A</c:v>
                </c:pt>
                <c:pt idx="30">
                  <c:v>#N/A</c:v>
                </c:pt>
                <c:pt idx="31">
                  <c:v>#N/A</c:v>
                </c:pt>
                <c:pt idx="32">
                  <c:v>#N/A</c:v>
                </c:pt>
                <c:pt idx="33">
                  <c:v>#N/A</c:v>
                </c:pt>
                <c:pt idx="34">
                  <c:v>27.716999999999999</c:v>
                </c:pt>
                <c:pt idx="35">
                  <c:v>#N/A</c:v>
                </c:pt>
                <c:pt idx="36">
                  <c:v>#N/A</c:v>
                </c:pt>
                <c:pt idx="37">
                  <c:v>#N/A</c:v>
                </c:pt>
                <c:pt idx="38">
                  <c:v>27.817</c:v>
                </c:pt>
                <c:pt idx="39">
                  <c:v>24.167000000000002</c:v>
                </c:pt>
                <c:pt idx="40">
                  <c:v>#N/A</c:v>
                </c:pt>
                <c:pt idx="41">
                  <c:v>19.408999999999999</c:v>
                </c:pt>
                <c:pt idx="42">
                  <c:v>#N/A</c:v>
                </c:pt>
                <c:pt idx="43">
                  <c:v>#N/A</c:v>
                </c:pt>
                <c:pt idx="44">
                  <c:v>#N/A</c:v>
                </c:pt>
                <c:pt idx="45">
                  <c:v>30.300999999999998</c:v>
                </c:pt>
                <c:pt idx="46">
                  <c:v>#N/A</c:v>
                </c:pt>
                <c:pt idx="47">
                  <c:v>17.233000000000001</c:v>
                </c:pt>
                <c:pt idx="48">
                  <c:v>#N/A</c:v>
                </c:pt>
                <c:pt idx="49">
                  <c:v>#N/A</c:v>
                </c:pt>
                <c:pt idx="50">
                  <c:v>#N/A</c:v>
                </c:pt>
                <c:pt idx="51">
                  <c:v>#N/A</c:v>
                </c:pt>
                <c:pt idx="52">
                  <c:v>#N/A</c:v>
                </c:pt>
                <c:pt idx="53">
                  <c:v>#N/A</c:v>
                </c:pt>
                <c:pt idx="54">
                  <c:v>#N/A</c:v>
                </c:pt>
                <c:pt idx="55">
                  <c:v>#N/A</c:v>
                </c:pt>
                <c:pt idx="56">
                  <c:v>18.0337</c:v>
                </c:pt>
                <c:pt idx="57">
                  <c:v>16.351300000000002</c:v>
                </c:pt>
                <c:pt idx="58">
                  <c:v>#N/A</c:v>
                </c:pt>
                <c:pt idx="59">
                  <c:v>#N/A</c:v>
                </c:pt>
                <c:pt idx="60">
                  <c:v>#N/A</c:v>
                </c:pt>
                <c:pt idx="61">
                  <c:v>9.7840000000000007</c:v>
                </c:pt>
                <c:pt idx="62">
                  <c:v>#N/A</c:v>
                </c:pt>
                <c:pt idx="63">
                  <c:v>29.367000000000001</c:v>
                </c:pt>
                <c:pt idx="64">
                  <c:v>#N/A</c:v>
                </c:pt>
                <c:pt idx="65">
                  <c:v>#N/A</c:v>
                </c:pt>
                <c:pt idx="66">
                  <c:v>#N/A</c:v>
                </c:pt>
                <c:pt idx="67">
                  <c:v>7.3056999999999981</c:v>
                </c:pt>
                <c:pt idx="68">
                  <c:v>#N/A</c:v>
                </c:pt>
                <c:pt idx="69">
                  <c:v>#N/A</c:v>
                </c:pt>
                <c:pt idx="70">
                  <c:v>24.083300000000008</c:v>
                </c:pt>
                <c:pt idx="71">
                  <c:v>19.883299999999998</c:v>
                </c:pt>
                <c:pt idx="72">
                  <c:v>17.183299999999999</c:v>
                </c:pt>
                <c:pt idx="73">
                  <c:v>15.767000000000001</c:v>
                </c:pt>
                <c:pt idx="74">
                  <c:v>#N/A</c:v>
                </c:pt>
                <c:pt idx="75">
                  <c:v>#N/A</c:v>
                </c:pt>
                <c:pt idx="76">
                  <c:v>#N/A</c:v>
                </c:pt>
                <c:pt idx="77">
                  <c:v>26.1</c:v>
                </c:pt>
                <c:pt idx="78">
                  <c:v>#N/A</c:v>
                </c:pt>
                <c:pt idx="79">
                  <c:v>#N/A</c:v>
                </c:pt>
                <c:pt idx="80">
                  <c:v>#N/A</c:v>
                </c:pt>
                <c:pt idx="81">
                  <c:v>#N/A</c:v>
                </c:pt>
                <c:pt idx="82">
                  <c:v>44.132999999999996</c:v>
                </c:pt>
                <c:pt idx="83">
                  <c:v>#N/A</c:v>
                </c:pt>
                <c:pt idx="84">
                  <c:v>#N/A</c:v>
                </c:pt>
                <c:pt idx="85">
                  <c:v>#N/A</c:v>
                </c:pt>
                <c:pt idx="86">
                  <c:v>14.968999999999998</c:v>
                </c:pt>
              </c:numCache>
            </c:numRef>
          </c:yVal>
          <c:smooth val="0"/>
        </c:ser>
        <c:ser>
          <c:idx val="2"/>
          <c:order val="2"/>
          <c:tx>
            <c:v>Large Plants</c:v>
          </c:tx>
          <c:spPr>
            <a:ln w="28575">
              <a:noFill/>
            </a:ln>
          </c:spPr>
          <c:xVal>
            <c:numRef>
              <c:f>'Indirect vs Direct'!$C$10:$CK$10</c:f>
              <c:numCache>
                <c:formatCode>0.00</c:formatCode>
                <c:ptCount val="87"/>
                <c:pt idx="0">
                  <c:v>40.016666666666666</c:v>
                </c:pt>
                <c:pt idx="1">
                  <c:v>38.899000000000008</c:v>
                </c:pt>
                <c:pt idx="2">
                  <c:v>#N/A</c:v>
                </c:pt>
                <c:pt idx="3">
                  <c:v>26.717999999999993</c:v>
                </c:pt>
                <c:pt idx="4">
                  <c:v>#N/A</c:v>
                </c:pt>
                <c:pt idx="5">
                  <c:v>24.65</c:v>
                </c:pt>
                <c:pt idx="6">
                  <c:v>#N/A</c:v>
                </c:pt>
                <c:pt idx="7">
                  <c:v>#N/A</c:v>
                </c:pt>
                <c:pt idx="8">
                  <c:v>#N/A</c:v>
                </c:pt>
                <c:pt idx="9">
                  <c:v>#N/A</c:v>
                </c:pt>
                <c:pt idx="10">
                  <c:v>#N/A</c:v>
                </c:pt>
                <c:pt idx="11">
                  <c:v>#N/A</c:v>
                </c:pt>
                <c:pt idx="12">
                  <c:v>42.265999999999998</c:v>
                </c:pt>
                <c:pt idx="13">
                  <c:v>48.048999999999992</c:v>
                </c:pt>
                <c:pt idx="14">
                  <c:v>#N/A</c:v>
                </c:pt>
                <c:pt idx="15">
                  <c:v>#N/A</c:v>
                </c:pt>
                <c:pt idx="16">
                  <c:v>#N/A</c:v>
                </c:pt>
                <c:pt idx="17">
                  <c:v>#N/A</c:v>
                </c:pt>
                <c:pt idx="18">
                  <c:v>#N/A</c:v>
                </c:pt>
                <c:pt idx="19">
                  <c:v>#N/A</c:v>
                </c:pt>
                <c:pt idx="20">
                  <c:v>#N/A</c:v>
                </c:pt>
                <c:pt idx="21">
                  <c:v>51.498699999999999</c:v>
                </c:pt>
                <c:pt idx="22">
                  <c:v>27.980000000000004</c:v>
                </c:pt>
                <c:pt idx="23">
                  <c:v>#N/A</c:v>
                </c:pt>
                <c:pt idx="24">
                  <c:v>#N/A</c:v>
                </c:pt>
                <c:pt idx="25">
                  <c:v>#N/A</c:v>
                </c:pt>
                <c:pt idx="26">
                  <c:v>#N/A</c:v>
                </c:pt>
                <c:pt idx="27">
                  <c:v>43.187000000000005</c:v>
                </c:pt>
                <c:pt idx="28">
                  <c:v>41.3504</c:v>
                </c:pt>
                <c:pt idx="29">
                  <c:v>28.849000000000004</c:v>
                </c:pt>
                <c:pt idx="30">
                  <c:v>#N/A</c:v>
                </c:pt>
                <c:pt idx="31">
                  <c:v>#N/A</c:v>
                </c:pt>
                <c:pt idx="32">
                  <c:v>41.670999999999999</c:v>
                </c:pt>
                <c:pt idx="33">
                  <c:v>35.482999999999997</c:v>
                </c:pt>
                <c:pt idx="34">
                  <c:v>#N/A</c:v>
                </c:pt>
                <c:pt idx="35">
                  <c:v>36.750000000000007</c:v>
                </c:pt>
                <c:pt idx="36">
                  <c:v>#N/A</c:v>
                </c:pt>
                <c:pt idx="37">
                  <c:v>#N/A</c:v>
                </c:pt>
                <c:pt idx="38">
                  <c:v>#N/A</c:v>
                </c:pt>
                <c:pt idx="39">
                  <c:v>#N/A</c:v>
                </c:pt>
                <c:pt idx="40">
                  <c:v>30.051000000000002</c:v>
                </c:pt>
                <c:pt idx="41">
                  <c:v>#N/A</c:v>
                </c:pt>
                <c:pt idx="42">
                  <c:v>38.116999999999997</c:v>
                </c:pt>
                <c:pt idx="43">
                  <c:v>32.9</c:v>
                </c:pt>
                <c:pt idx="44">
                  <c:v>#N/A</c:v>
                </c:pt>
                <c:pt idx="45">
                  <c:v>#N/A</c:v>
                </c:pt>
                <c:pt idx="46">
                  <c:v>61.084000000000003</c:v>
                </c:pt>
                <c:pt idx="47">
                  <c:v>#N/A</c:v>
                </c:pt>
                <c:pt idx="48">
                  <c:v>46.199700000000007</c:v>
                </c:pt>
                <c:pt idx="49">
                  <c:v>57.5336</c:v>
                </c:pt>
                <c:pt idx="50">
                  <c:v>#N/A</c:v>
                </c:pt>
                <c:pt idx="51">
                  <c:v>42.416000000000004</c:v>
                </c:pt>
                <c:pt idx="52">
                  <c:v>41.515999999999998</c:v>
                </c:pt>
                <c:pt idx="53">
                  <c:v>29.432299999999998</c:v>
                </c:pt>
                <c:pt idx="54">
                  <c:v>29.467000000000002</c:v>
                </c:pt>
                <c:pt idx="55">
                  <c:v>#N/A</c:v>
                </c:pt>
                <c:pt idx="56">
                  <c:v>#N/A</c:v>
                </c:pt>
                <c:pt idx="57">
                  <c:v>#N/A</c:v>
                </c:pt>
                <c:pt idx="58">
                  <c:v>#N/A</c:v>
                </c:pt>
                <c:pt idx="59">
                  <c:v>#N/A</c:v>
                </c:pt>
                <c:pt idx="60">
                  <c:v>37.509300000000003</c:v>
                </c:pt>
                <c:pt idx="61">
                  <c:v>#N/A</c:v>
                </c:pt>
                <c:pt idx="62">
                  <c:v>#N/A</c:v>
                </c:pt>
                <c:pt idx="63">
                  <c:v>#N/A</c:v>
                </c:pt>
                <c:pt idx="64">
                  <c:v>60.104999999999997</c:v>
                </c:pt>
                <c:pt idx="65">
                  <c:v>21.351000000000003</c:v>
                </c:pt>
                <c:pt idx="66">
                  <c:v>#N/A</c:v>
                </c:pt>
                <c:pt idx="67">
                  <c:v>#N/A</c:v>
                </c:pt>
                <c:pt idx="68">
                  <c:v>#N/A</c:v>
                </c:pt>
                <c:pt idx="69">
                  <c:v>64.816300000000012</c:v>
                </c:pt>
                <c:pt idx="70">
                  <c:v>#N/A</c:v>
                </c:pt>
                <c:pt idx="71">
                  <c:v>#N/A</c:v>
                </c:pt>
                <c:pt idx="72">
                  <c:v>#N/A</c:v>
                </c:pt>
                <c:pt idx="73">
                  <c:v>#N/A</c:v>
                </c:pt>
                <c:pt idx="74">
                  <c:v>32.732700000000001</c:v>
                </c:pt>
                <c:pt idx="75">
                  <c:v>#N/A</c:v>
                </c:pt>
                <c:pt idx="76">
                  <c:v>#N/A</c:v>
                </c:pt>
                <c:pt idx="77">
                  <c:v>#N/A</c:v>
                </c:pt>
                <c:pt idx="78">
                  <c:v>39.701999999999998</c:v>
                </c:pt>
                <c:pt idx="79">
                  <c:v>8.85</c:v>
                </c:pt>
                <c:pt idx="80">
                  <c:v>#N/A</c:v>
                </c:pt>
                <c:pt idx="81">
                  <c:v>48.633299999999998</c:v>
                </c:pt>
                <c:pt idx="82">
                  <c:v>#N/A</c:v>
                </c:pt>
                <c:pt idx="83">
                  <c:v>63</c:v>
                </c:pt>
                <c:pt idx="84">
                  <c:v>#N/A</c:v>
                </c:pt>
                <c:pt idx="85">
                  <c:v>#N/A</c:v>
                </c:pt>
                <c:pt idx="86">
                  <c:v>#N/A</c:v>
                </c:pt>
              </c:numCache>
            </c:numRef>
          </c:xVal>
          <c:yVal>
            <c:numRef>
              <c:f>'Indirect vs Direct'!$C$13:$CK$13</c:f>
              <c:numCache>
                <c:formatCode>0.00</c:formatCode>
                <c:ptCount val="87"/>
                <c:pt idx="0">
                  <c:v>21.25</c:v>
                </c:pt>
                <c:pt idx="1">
                  <c:v>17.266999999999996</c:v>
                </c:pt>
                <c:pt idx="2">
                  <c:v>#N/A</c:v>
                </c:pt>
                <c:pt idx="3">
                  <c:v>22.699999999999996</c:v>
                </c:pt>
                <c:pt idx="4">
                  <c:v>#N/A</c:v>
                </c:pt>
                <c:pt idx="5">
                  <c:v>21.816666666666666</c:v>
                </c:pt>
                <c:pt idx="6">
                  <c:v>#N/A</c:v>
                </c:pt>
                <c:pt idx="7">
                  <c:v>#N/A</c:v>
                </c:pt>
                <c:pt idx="8">
                  <c:v>#N/A</c:v>
                </c:pt>
                <c:pt idx="9">
                  <c:v>#N/A</c:v>
                </c:pt>
                <c:pt idx="10">
                  <c:v>#N/A</c:v>
                </c:pt>
                <c:pt idx="11">
                  <c:v>#N/A</c:v>
                </c:pt>
                <c:pt idx="12">
                  <c:v>12.533999999999999</c:v>
                </c:pt>
                <c:pt idx="13">
                  <c:v>28.850999999999999</c:v>
                </c:pt>
                <c:pt idx="14">
                  <c:v>#N/A</c:v>
                </c:pt>
                <c:pt idx="15">
                  <c:v>#N/A</c:v>
                </c:pt>
                <c:pt idx="16">
                  <c:v>#N/A</c:v>
                </c:pt>
                <c:pt idx="17">
                  <c:v>#N/A</c:v>
                </c:pt>
                <c:pt idx="18">
                  <c:v>#N/A</c:v>
                </c:pt>
                <c:pt idx="19">
                  <c:v>#N/A</c:v>
                </c:pt>
                <c:pt idx="20">
                  <c:v>#N/A</c:v>
                </c:pt>
                <c:pt idx="21">
                  <c:v>18.533000000000001</c:v>
                </c:pt>
                <c:pt idx="22">
                  <c:v>16.400000000000002</c:v>
                </c:pt>
                <c:pt idx="23">
                  <c:v>#N/A</c:v>
                </c:pt>
                <c:pt idx="24">
                  <c:v>#N/A</c:v>
                </c:pt>
                <c:pt idx="25">
                  <c:v>#N/A</c:v>
                </c:pt>
                <c:pt idx="26">
                  <c:v>#N/A</c:v>
                </c:pt>
                <c:pt idx="27">
                  <c:v>20.265999999999998</c:v>
                </c:pt>
                <c:pt idx="28">
                  <c:v>16.150300000000001</c:v>
                </c:pt>
                <c:pt idx="29">
                  <c:v>28.183299999999999</c:v>
                </c:pt>
                <c:pt idx="30">
                  <c:v>#N/A</c:v>
                </c:pt>
                <c:pt idx="31">
                  <c:v>#N/A</c:v>
                </c:pt>
                <c:pt idx="32">
                  <c:v>23.132999999999999</c:v>
                </c:pt>
                <c:pt idx="33">
                  <c:v>29.082999999999998</c:v>
                </c:pt>
                <c:pt idx="34">
                  <c:v>#N/A</c:v>
                </c:pt>
                <c:pt idx="35">
                  <c:v>12.149999999999999</c:v>
                </c:pt>
                <c:pt idx="36">
                  <c:v>#N/A</c:v>
                </c:pt>
                <c:pt idx="37">
                  <c:v>#N/A</c:v>
                </c:pt>
                <c:pt idx="38">
                  <c:v>#N/A</c:v>
                </c:pt>
                <c:pt idx="39">
                  <c:v>#N/A</c:v>
                </c:pt>
                <c:pt idx="40">
                  <c:v>11.967000000000002</c:v>
                </c:pt>
                <c:pt idx="41">
                  <c:v>#N/A</c:v>
                </c:pt>
                <c:pt idx="42">
                  <c:v>16.032999999999998</c:v>
                </c:pt>
                <c:pt idx="43">
                  <c:v>22.683</c:v>
                </c:pt>
                <c:pt idx="44">
                  <c:v>#N/A</c:v>
                </c:pt>
                <c:pt idx="45">
                  <c:v>#N/A</c:v>
                </c:pt>
                <c:pt idx="46">
                  <c:v>18</c:v>
                </c:pt>
                <c:pt idx="47">
                  <c:v>#N/A</c:v>
                </c:pt>
                <c:pt idx="48">
                  <c:v>15.481999999999999</c:v>
                </c:pt>
                <c:pt idx="49">
                  <c:v>19.165699999999998</c:v>
                </c:pt>
                <c:pt idx="50">
                  <c:v>#N/A</c:v>
                </c:pt>
                <c:pt idx="51">
                  <c:v>19.5167</c:v>
                </c:pt>
                <c:pt idx="52">
                  <c:v>20.049999999999997</c:v>
                </c:pt>
                <c:pt idx="53">
                  <c:v>26.700299999999999</c:v>
                </c:pt>
                <c:pt idx="54">
                  <c:v>18.183</c:v>
                </c:pt>
                <c:pt idx="55">
                  <c:v>#N/A</c:v>
                </c:pt>
                <c:pt idx="56">
                  <c:v>#N/A</c:v>
                </c:pt>
                <c:pt idx="57">
                  <c:v>#N/A</c:v>
                </c:pt>
                <c:pt idx="58">
                  <c:v>#N/A</c:v>
                </c:pt>
                <c:pt idx="59">
                  <c:v>#N/A</c:v>
                </c:pt>
                <c:pt idx="60">
                  <c:v>23.386199999999999</c:v>
                </c:pt>
                <c:pt idx="61">
                  <c:v>#N/A</c:v>
                </c:pt>
                <c:pt idx="62">
                  <c:v>#N/A</c:v>
                </c:pt>
                <c:pt idx="63">
                  <c:v>#N/A</c:v>
                </c:pt>
                <c:pt idx="64">
                  <c:v>33.742000000000004</c:v>
                </c:pt>
                <c:pt idx="65">
                  <c:v>15.649000000000001</c:v>
                </c:pt>
                <c:pt idx="66">
                  <c:v>#N/A</c:v>
                </c:pt>
                <c:pt idx="67">
                  <c:v>#N/A</c:v>
                </c:pt>
                <c:pt idx="68">
                  <c:v>#N/A</c:v>
                </c:pt>
                <c:pt idx="69">
                  <c:v>18.183</c:v>
                </c:pt>
                <c:pt idx="70">
                  <c:v>#N/A</c:v>
                </c:pt>
                <c:pt idx="71">
                  <c:v>#N/A</c:v>
                </c:pt>
                <c:pt idx="72">
                  <c:v>#N/A</c:v>
                </c:pt>
                <c:pt idx="73">
                  <c:v>#N/A</c:v>
                </c:pt>
                <c:pt idx="74">
                  <c:v>21.083000000000002</c:v>
                </c:pt>
                <c:pt idx="75">
                  <c:v>#N/A</c:v>
                </c:pt>
                <c:pt idx="76">
                  <c:v>#N/A</c:v>
                </c:pt>
                <c:pt idx="77">
                  <c:v>#N/A</c:v>
                </c:pt>
                <c:pt idx="78">
                  <c:v>10.867000000000001</c:v>
                </c:pt>
                <c:pt idx="79">
                  <c:v>8.5829999999999984</c:v>
                </c:pt>
                <c:pt idx="80">
                  <c:v>#N/A</c:v>
                </c:pt>
                <c:pt idx="81">
                  <c:v>28.067</c:v>
                </c:pt>
                <c:pt idx="82">
                  <c:v>#N/A</c:v>
                </c:pt>
                <c:pt idx="83">
                  <c:v>22.5</c:v>
                </c:pt>
                <c:pt idx="84">
                  <c:v>#N/A</c:v>
                </c:pt>
                <c:pt idx="85">
                  <c:v>#N/A</c:v>
                </c:pt>
                <c:pt idx="86">
                  <c:v>#N/A</c:v>
                </c:pt>
              </c:numCache>
            </c:numRef>
          </c:yVal>
          <c:smooth val="0"/>
        </c:ser>
        <c:ser>
          <c:idx val="3"/>
          <c:order val="3"/>
          <c:tx>
            <c:v>All Plants</c:v>
          </c:tx>
          <c:spPr>
            <a:ln w="28575">
              <a:noFill/>
            </a:ln>
          </c:spPr>
          <c:trendline>
            <c:name>Line for multiplier calculated from data</c:name>
            <c:spPr>
              <a:ln>
                <a:solidFill>
                  <a:srgbClr val="0070C0"/>
                </a:solidFill>
              </a:ln>
            </c:spPr>
            <c:trendlineType val="linear"/>
            <c:dispRSqr val="0"/>
            <c:dispEq val="1"/>
            <c:trendlineLbl>
              <c:layout>
                <c:manualLayout>
                  <c:x val="0.16710670590008733"/>
                  <c:y val="-1.5695221195942072E-4"/>
                </c:manualLayout>
              </c:layout>
              <c:numFmt formatCode="General" sourceLinked="0"/>
            </c:trendlineLbl>
          </c:trendline>
          <c:xVal>
            <c:numRef>
              <c:f>'Indirect vs Direct'!$C$5:$CK$5</c:f>
              <c:numCache>
                <c:formatCode>0.00</c:formatCode>
                <c:ptCount val="87"/>
                <c:pt idx="0">
                  <c:v>40.016666666666666</c:v>
                </c:pt>
                <c:pt idx="1">
                  <c:v>38.899000000000008</c:v>
                </c:pt>
                <c:pt idx="2">
                  <c:v>32.733333333333334</c:v>
                </c:pt>
                <c:pt idx="3">
                  <c:v>26.717999999999993</c:v>
                </c:pt>
                <c:pt idx="4">
                  <c:v>25.465999999999998</c:v>
                </c:pt>
                <c:pt idx="5">
                  <c:v>24.65</c:v>
                </c:pt>
                <c:pt idx="6">
                  <c:v>57.766666666666666</c:v>
                </c:pt>
                <c:pt idx="7">
                  <c:v>44.332999999999998</c:v>
                </c:pt>
                <c:pt idx="8">
                  <c:v>29.419</c:v>
                </c:pt>
                <c:pt idx="9">
                  <c:v>41.783000000000001</c:v>
                </c:pt>
                <c:pt idx="10">
                  <c:v>36.5837</c:v>
                </c:pt>
                <c:pt idx="11">
                  <c:v>24.417000000000002</c:v>
                </c:pt>
                <c:pt idx="12">
                  <c:v>42.265999999999998</c:v>
                </c:pt>
                <c:pt idx="13">
                  <c:v>48.048999999999992</c:v>
                </c:pt>
                <c:pt idx="14">
                  <c:v>15.75</c:v>
                </c:pt>
                <c:pt idx="15">
                  <c:v>19.420999999999999</c:v>
                </c:pt>
                <c:pt idx="16">
                  <c:v>35.667000000000002</c:v>
                </c:pt>
                <c:pt idx="17">
                  <c:v>40.149700000000003</c:v>
                </c:pt>
                <c:pt idx="18">
                  <c:v>62.499000000000009</c:v>
                </c:pt>
                <c:pt idx="19">
                  <c:v>31.766300000000001</c:v>
                </c:pt>
                <c:pt idx="20">
                  <c:v>32.850300000000004</c:v>
                </c:pt>
                <c:pt idx="21">
                  <c:v>51.498699999999999</c:v>
                </c:pt>
                <c:pt idx="22">
                  <c:v>27.980000000000004</c:v>
                </c:pt>
                <c:pt idx="23">
                  <c:v>15.433</c:v>
                </c:pt>
                <c:pt idx="24">
                  <c:v>53.549700000000001</c:v>
                </c:pt>
                <c:pt idx="25">
                  <c:v>27.739000000000001</c:v>
                </c:pt>
                <c:pt idx="26">
                  <c:v>23.023300000000003</c:v>
                </c:pt>
                <c:pt idx="27">
                  <c:v>43.187000000000005</c:v>
                </c:pt>
                <c:pt idx="28">
                  <c:v>41.3504</c:v>
                </c:pt>
                <c:pt idx="29">
                  <c:v>28.849000000000004</c:v>
                </c:pt>
                <c:pt idx="30">
                  <c:v>29.700000000000003</c:v>
                </c:pt>
                <c:pt idx="31">
                  <c:v>43.500700000000002</c:v>
                </c:pt>
                <c:pt idx="32">
                  <c:v>41.670999999999999</c:v>
                </c:pt>
                <c:pt idx="33">
                  <c:v>35.482999999999997</c:v>
                </c:pt>
                <c:pt idx="34">
                  <c:v>52.750999999999998</c:v>
                </c:pt>
                <c:pt idx="35">
                  <c:v>36.750000000000007</c:v>
                </c:pt>
                <c:pt idx="36">
                  <c:v>39.349999999999994</c:v>
                </c:pt>
                <c:pt idx="37">
                  <c:v>40.414999999999999</c:v>
                </c:pt>
                <c:pt idx="38">
                  <c:v>33.766000000000005</c:v>
                </c:pt>
                <c:pt idx="39">
                  <c:v>22.016399999999997</c:v>
                </c:pt>
                <c:pt idx="40">
                  <c:v>30.051000000000002</c:v>
                </c:pt>
                <c:pt idx="41">
                  <c:v>59.820500000000003</c:v>
                </c:pt>
                <c:pt idx="42">
                  <c:v>38.116999999999997</c:v>
                </c:pt>
                <c:pt idx="43">
                  <c:v>32.9</c:v>
                </c:pt>
                <c:pt idx="44">
                  <c:v>20.515999999999998</c:v>
                </c:pt>
                <c:pt idx="45">
                  <c:v>51.100299999999997</c:v>
                </c:pt>
                <c:pt idx="46">
                  <c:v>61.084000000000003</c:v>
                </c:pt>
                <c:pt idx="47">
                  <c:v>26.166</c:v>
                </c:pt>
                <c:pt idx="48">
                  <c:v>46.199700000000007</c:v>
                </c:pt>
                <c:pt idx="49">
                  <c:v>57.5336</c:v>
                </c:pt>
                <c:pt idx="50">
                  <c:v>20.882999999999999</c:v>
                </c:pt>
                <c:pt idx="51">
                  <c:v>42.416000000000004</c:v>
                </c:pt>
                <c:pt idx="52">
                  <c:v>41.515999999999998</c:v>
                </c:pt>
                <c:pt idx="53">
                  <c:v>29.432299999999998</c:v>
                </c:pt>
                <c:pt idx="54">
                  <c:v>29.467000000000002</c:v>
                </c:pt>
                <c:pt idx="55">
                  <c:v>34.645199999999996</c:v>
                </c:pt>
                <c:pt idx="56">
                  <c:v>36.266299999999994</c:v>
                </c:pt>
                <c:pt idx="57">
                  <c:v>19.541999999999998</c:v>
                </c:pt>
                <c:pt idx="58">
                  <c:v>25.966999999999999</c:v>
                </c:pt>
                <c:pt idx="59">
                  <c:v>13.1</c:v>
                </c:pt>
                <c:pt idx="60">
                  <c:v>37.509300000000003</c:v>
                </c:pt>
                <c:pt idx="61">
                  <c:v>19.549299999999999</c:v>
                </c:pt>
                <c:pt idx="62">
                  <c:v>31.0717</c:v>
                </c:pt>
                <c:pt idx="63">
                  <c:v>28.6493</c:v>
                </c:pt>
                <c:pt idx="64">
                  <c:v>60.104999999999997</c:v>
                </c:pt>
                <c:pt idx="65">
                  <c:v>21.351000000000003</c:v>
                </c:pt>
                <c:pt idx="66">
                  <c:v>33.483700000000006</c:v>
                </c:pt>
                <c:pt idx="67">
                  <c:v>46.535999999999994</c:v>
                </c:pt>
                <c:pt idx="68">
                  <c:v>46.982999999999997</c:v>
                </c:pt>
                <c:pt idx="69">
                  <c:v>64.816300000000012</c:v>
                </c:pt>
                <c:pt idx="70">
                  <c:v>45.216999999999999</c:v>
                </c:pt>
                <c:pt idx="71">
                  <c:v>46.216999999999992</c:v>
                </c:pt>
                <c:pt idx="72">
                  <c:v>15.716700000000001</c:v>
                </c:pt>
                <c:pt idx="73">
                  <c:v>8.3333000000000013</c:v>
                </c:pt>
                <c:pt idx="74">
                  <c:v>32.732700000000001</c:v>
                </c:pt>
                <c:pt idx="75">
                  <c:v>6.2006999999999994</c:v>
                </c:pt>
                <c:pt idx="76">
                  <c:v>48.466999999999999</c:v>
                </c:pt>
                <c:pt idx="77">
                  <c:v>39.884000000000007</c:v>
                </c:pt>
                <c:pt idx="78">
                  <c:v>39.701999999999998</c:v>
                </c:pt>
                <c:pt idx="79">
                  <c:v>8.85</c:v>
                </c:pt>
                <c:pt idx="80">
                  <c:v>18.533000000000001</c:v>
                </c:pt>
                <c:pt idx="81">
                  <c:v>48.633299999999998</c:v>
                </c:pt>
                <c:pt idx="82">
                  <c:v>27.3</c:v>
                </c:pt>
                <c:pt idx="83">
                  <c:v>63</c:v>
                </c:pt>
                <c:pt idx="84">
                  <c:v>30.383000000000003</c:v>
                </c:pt>
                <c:pt idx="85">
                  <c:v>52.516999999999996</c:v>
                </c:pt>
                <c:pt idx="86">
                  <c:v>67.398499999999999</c:v>
                </c:pt>
              </c:numCache>
            </c:numRef>
          </c:xVal>
          <c:yVal>
            <c:numRef>
              <c:f>'Indirect vs Direct'!$C$6:$CK$6</c:f>
              <c:numCache>
                <c:formatCode>0.00</c:formatCode>
                <c:ptCount val="87"/>
                <c:pt idx="0">
                  <c:v>21.25</c:v>
                </c:pt>
                <c:pt idx="1">
                  <c:v>17.266999999999996</c:v>
                </c:pt>
                <c:pt idx="2">
                  <c:v>37.800000000000004</c:v>
                </c:pt>
                <c:pt idx="3">
                  <c:v>22.699999999999996</c:v>
                </c:pt>
                <c:pt idx="4">
                  <c:v>17.683</c:v>
                </c:pt>
                <c:pt idx="5">
                  <c:v>21.816666666666666</c:v>
                </c:pt>
                <c:pt idx="6">
                  <c:v>17.95</c:v>
                </c:pt>
                <c:pt idx="7">
                  <c:v>29.099999999999998</c:v>
                </c:pt>
                <c:pt idx="8">
                  <c:v>18.364799999999999</c:v>
                </c:pt>
                <c:pt idx="9">
                  <c:v>38.783000000000001</c:v>
                </c:pt>
                <c:pt idx="10">
                  <c:v>27.867000000000001</c:v>
                </c:pt>
                <c:pt idx="11">
                  <c:v>27.299999999999997</c:v>
                </c:pt>
                <c:pt idx="12">
                  <c:v>12.533999999999999</c:v>
                </c:pt>
                <c:pt idx="13">
                  <c:v>28.850999999999999</c:v>
                </c:pt>
                <c:pt idx="14">
                  <c:v>19.249299999999998</c:v>
                </c:pt>
                <c:pt idx="15">
                  <c:v>14.064499999999999</c:v>
                </c:pt>
                <c:pt idx="16">
                  <c:v>26.050999999999998</c:v>
                </c:pt>
                <c:pt idx="17">
                  <c:v>27.166999999999998</c:v>
                </c:pt>
                <c:pt idx="18">
                  <c:v>35.849999999999994</c:v>
                </c:pt>
                <c:pt idx="19">
                  <c:v>14.600000000000001</c:v>
                </c:pt>
                <c:pt idx="20">
                  <c:v>21.95</c:v>
                </c:pt>
                <c:pt idx="21">
                  <c:v>18.533000000000001</c:v>
                </c:pt>
                <c:pt idx="22">
                  <c:v>16.400000000000002</c:v>
                </c:pt>
                <c:pt idx="23">
                  <c:v>31.1</c:v>
                </c:pt>
                <c:pt idx="24">
                  <c:v>16.967300000000002</c:v>
                </c:pt>
                <c:pt idx="25">
                  <c:v>13.353499999999999</c:v>
                </c:pt>
                <c:pt idx="26">
                  <c:v>13.178000000000001</c:v>
                </c:pt>
                <c:pt idx="27">
                  <c:v>20.265999999999998</c:v>
                </c:pt>
                <c:pt idx="28">
                  <c:v>16.150300000000001</c:v>
                </c:pt>
                <c:pt idx="29">
                  <c:v>28.183299999999999</c:v>
                </c:pt>
                <c:pt idx="30">
                  <c:v>20.2163</c:v>
                </c:pt>
                <c:pt idx="31">
                  <c:v>21.300000000000004</c:v>
                </c:pt>
                <c:pt idx="32">
                  <c:v>23.132999999999999</c:v>
                </c:pt>
                <c:pt idx="33">
                  <c:v>29.082999999999998</c:v>
                </c:pt>
                <c:pt idx="34">
                  <c:v>27.716999999999999</c:v>
                </c:pt>
                <c:pt idx="35">
                  <c:v>12.149999999999999</c:v>
                </c:pt>
                <c:pt idx="36">
                  <c:v>31.971999999999998</c:v>
                </c:pt>
                <c:pt idx="37">
                  <c:v>30.716300000000004</c:v>
                </c:pt>
                <c:pt idx="38">
                  <c:v>27.817</c:v>
                </c:pt>
                <c:pt idx="39">
                  <c:v>24.167000000000002</c:v>
                </c:pt>
                <c:pt idx="40">
                  <c:v>11.967000000000002</c:v>
                </c:pt>
                <c:pt idx="41">
                  <c:v>19.408999999999999</c:v>
                </c:pt>
                <c:pt idx="42">
                  <c:v>16.032999999999998</c:v>
                </c:pt>
                <c:pt idx="43">
                  <c:v>22.683</c:v>
                </c:pt>
                <c:pt idx="44">
                  <c:v>34.224299999999999</c:v>
                </c:pt>
                <c:pt idx="45">
                  <c:v>30.300999999999998</c:v>
                </c:pt>
                <c:pt idx="46">
                  <c:v>18</c:v>
                </c:pt>
                <c:pt idx="47">
                  <c:v>17.233000000000001</c:v>
                </c:pt>
                <c:pt idx="48">
                  <c:v>15.481999999999999</c:v>
                </c:pt>
                <c:pt idx="49">
                  <c:v>19.165699999999998</c:v>
                </c:pt>
                <c:pt idx="50">
                  <c:v>26.967000000000006</c:v>
                </c:pt>
                <c:pt idx="51">
                  <c:v>19.5167</c:v>
                </c:pt>
                <c:pt idx="52">
                  <c:v>20.049999999999997</c:v>
                </c:pt>
                <c:pt idx="53">
                  <c:v>26.700299999999999</c:v>
                </c:pt>
                <c:pt idx="54">
                  <c:v>18.183</c:v>
                </c:pt>
                <c:pt idx="55">
                  <c:v>19.497999999999998</c:v>
                </c:pt>
                <c:pt idx="56">
                  <c:v>18.0337</c:v>
                </c:pt>
                <c:pt idx="57">
                  <c:v>16.351300000000002</c:v>
                </c:pt>
                <c:pt idx="58">
                  <c:v>26.85</c:v>
                </c:pt>
                <c:pt idx="59">
                  <c:v>12.082999999999998</c:v>
                </c:pt>
                <c:pt idx="60">
                  <c:v>23.386199999999999</c:v>
                </c:pt>
                <c:pt idx="61">
                  <c:v>9.7840000000000007</c:v>
                </c:pt>
                <c:pt idx="62">
                  <c:v>42.033999999999999</c:v>
                </c:pt>
                <c:pt idx="63">
                  <c:v>29.367000000000001</c:v>
                </c:pt>
                <c:pt idx="64">
                  <c:v>33.742000000000004</c:v>
                </c:pt>
                <c:pt idx="65">
                  <c:v>15.649000000000001</c:v>
                </c:pt>
                <c:pt idx="66">
                  <c:v>15.3</c:v>
                </c:pt>
                <c:pt idx="67">
                  <c:v>7.3056999999999981</c:v>
                </c:pt>
                <c:pt idx="68">
                  <c:v>12.067</c:v>
                </c:pt>
                <c:pt idx="69">
                  <c:v>18.183</c:v>
                </c:pt>
                <c:pt idx="70">
                  <c:v>24.083300000000008</c:v>
                </c:pt>
                <c:pt idx="71">
                  <c:v>19.883299999999998</c:v>
                </c:pt>
                <c:pt idx="72">
                  <c:v>17.183299999999999</c:v>
                </c:pt>
                <c:pt idx="73">
                  <c:v>15.767000000000001</c:v>
                </c:pt>
                <c:pt idx="74">
                  <c:v>21.083000000000002</c:v>
                </c:pt>
                <c:pt idx="75">
                  <c:v>13.616</c:v>
                </c:pt>
                <c:pt idx="76">
                  <c:v>33.683</c:v>
                </c:pt>
                <c:pt idx="77">
                  <c:v>26.1</c:v>
                </c:pt>
                <c:pt idx="78">
                  <c:v>10.867000000000001</c:v>
                </c:pt>
                <c:pt idx="79">
                  <c:v>8.5829999999999984</c:v>
                </c:pt>
                <c:pt idx="80">
                  <c:v>19.566299999999998</c:v>
                </c:pt>
                <c:pt idx="81">
                  <c:v>28.067</c:v>
                </c:pt>
                <c:pt idx="82">
                  <c:v>44.132999999999996</c:v>
                </c:pt>
                <c:pt idx="83">
                  <c:v>22.5</c:v>
                </c:pt>
                <c:pt idx="84">
                  <c:v>21.25</c:v>
                </c:pt>
                <c:pt idx="85">
                  <c:v>23.483000000000004</c:v>
                </c:pt>
                <c:pt idx="86">
                  <c:v>14.968999999999998</c:v>
                </c:pt>
              </c:numCache>
            </c:numRef>
          </c:yVal>
          <c:smooth val="0"/>
        </c:ser>
        <c:ser>
          <c:idx val="4"/>
          <c:order val="4"/>
          <c:tx>
            <c:strRef>
              <c:f>'Indirect vs Direct'!$B$50</c:f>
              <c:strCache>
                <c:ptCount val="1"/>
                <c:pt idx="0">
                  <c:v> </c:v>
                </c:pt>
              </c:strCache>
            </c:strRef>
          </c:tx>
          <c:spPr>
            <a:ln w="28575">
              <a:noFill/>
            </a:ln>
          </c:spPr>
          <c:marker>
            <c:spPr>
              <a:ln>
                <a:solidFill>
                  <a:schemeClr val="bg1"/>
                </a:solidFill>
              </a:ln>
            </c:spPr>
          </c:marker>
          <c:trendline>
            <c:name>Line for expected multiplier of 1.8</c:name>
            <c:spPr>
              <a:ln>
                <a:solidFill>
                  <a:srgbClr val="FF0000"/>
                </a:solidFill>
              </a:ln>
            </c:spPr>
            <c:trendlineType val="linear"/>
            <c:dispRSqr val="0"/>
            <c:dispEq val="1"/>
            <c:trendlineLbl>
              <c:layout>
                <c:manualLayout>
                  <c:x val="-3.4791358441085475E-2"/>
                  <c:y val="-1.2885713229508293E-3"/>
                </c:manualLayout>
              </c:layout>
              <c:numFmt formatCode="General" sourceLinked="0"/>
            </c:trendlineLbl>
          </c:trendline>
          <c:xVal>
            <c:numRef>
              <c:f>'Indirect vs Direct'!$C$50:$R$50</c:f>
              <c:numCache>
                <c:formatCode>General</c:formatCode>
                <c:ptCount val="16"/>
                <c:pt idx="0">
                  <c:v>5</c:v>
                </c:pt>
                <c:pt idx="1">
                  <c:v>10</c:v>
                </c:pt>
                <c:pt idx="2">
                  <c:v>15</c:v>
                </c:pt>
                <c:pt idx="3">
                  <c:v>20</c:v>
                </c:pt>
                <c:pt idx="4">
                  <c:v>25</c:v>
                </c:pt>
                <c:pt idx="5">
                  <c:v>30</c:v>
                </c:pt>
                <c:pt idx="6">
                  <c:v>35</c:v>
                </c:pt>
                <c:pt idx="7">
                  <c:v>40</c:v>
                </c:pt>
                <c:pt idx="8">
                  <c:v>45</c:v>
                </c:pt>
                <c:pt idx="9">
                  <c:v>50</c:v>
                </c:pt>
                <c:pt idx="10">
                  <c:v>55</c:v>
                </c:pt>
                <c:pt idx="11">
                  <c:v>60</c:v>
                </c:pt>
                <c:pt idx="12">
                  <c:v>65</c:v>
                </c:pt>
                <c:pt idx="13">
                  <c:v>70</c:v>
                </c:pt>
                <c:pt idx="14">
                  <c:v>75</c:v>
                </c:pt>
                <c:pt idx="15">
                  <c:v>80</c:v>
                </c:pt>
              </c:numCache>
            </c:numRef>
          </c:xVal>
          <c:yVal>
            <c:numRef>
              <c:f>'Indirect vs Direct'!$C$51:$R$51</c:f>
              <c:numCache>
                <c:formatCode>General</c:formatCode>
                <c:ptCount val="16"/>
                <c:pt idx="0">
                  <c:v>4</c:v>
                </c:pt>
                <c:pt idx="1">
                  <c:v>8</c:v>
                </c:pt>
                <c:pt idx="2">
                  <c:v>12</c:v>
                </c:pt>
                <c:pt idx="3">
                  <c:v>16</c:v>
                </c:pt>
                <c:pt idx="4">
                  <c:v>20</c:v>
                </c:pt>
                <c:pt idx="5">
                  <c:v>24</c:v>
                </c:pt>
                <c:pt idx="6">
                  <c:v>28</c:v>
                </c:pt>
                <c:pt idx="7">
                  <c:v>32</c:v>
                </c:pt>
                <c:pt idx="8">
                  <c:v>36</c:v>
                </c:pt>
                <c:pt idx="9">
                  <c:v>40</c:v>
                </c:pt>
                <c:pt idx="10">
                  <c:v>44</c:v>
                </c:pt>
                <c:pt idx="11">
                  <c:v>48</c:v>
                </c:pt>
                <c:pt idx="12">
                  <c:v>52</c:v>
                </c:pt>
                <c:pt idx="13">
                  <c:v>56</c:v>
                </c:pt>
                <c:pt idx="14">
                  <c:v>60</c:v>
                </c:pt>
                <c:pt idx="15">
                  <c:v>64</c:v>
                </c:pt>
              </c:numCache>
            </c:numRef>
          </c:yVal>
          <c:smooth val="0"/>
        </c:ser>
        <c:dLbls>
          <c:showLegendKey val="0"/>
          <c:showVal val="0"/>
          <c:showCatName val="0"/>
          <c:showSerName val="0"/>
          <c:showPercent val="0"/>
          <c:showBubbleSize val="0"/>
        </c:dLbls>
        <c:axId val="81682432"/>
        <c:axId val="81684352"/>
      </c:scatterChart>
      <c:valAx>
        <c:axId val="81682432"/>
        <c:scaling>
          <c:orientation val="minMax"/>
        </c:scaling>
        <c:delete val="0"/>
        <c:axPos val="b"/>
        <c:title>
          <c:tx>
            <c:rich>
              <a:bodyPr/>
              <a:lstStyle/>
              <a:p>
                <a:pPr>
                  <a:defRPr sz="1600"/>
                </a:pPr>
                <a:r>
                  <a:rPr lang="en-US" sz="1600"/>
                  <a:t>Direct Task Time (Minutes)</a:t>
                </a:r>
              </a:p>
            </c:rich>
          </c:tx>
          <c:layout/>
          <c:overlay val="0"/>
        </c:title>
        <c:numFmt formatCode="0.00" sourceLinked="1"/>
        <c:majorTickMark val="out"/>
        <c:minorTickMark val="none"/>
        <c:tickLblPos val="nextTo"/>
        <c:txPr>
          <a:bodyPr rot="-2700000"/>
          <a:lstStyle/>
          <a:p>
            <a:pPr>
              <a:defRPr sz="1200"/>
            </a:pPr>
            <a:endParaRPr lang="en-US"/>
          </a:p>
        </c:txPr>
        <c:crossAx val="81684352"/>
        <c:crosses val="autoZero"/>
        <c:crossBetween val="midCat"/>
      </c:valAx>
      <c:valAx>
        <c:axId val="81684352"/>
        <c:scaling>
          <c:orientation val="minMax"/>
        </c:scaling>
        <c:delete val="0"/>
        <c:axPos val="l"/>
        <c:majorGridlines/>
        <c:title>
          <c:tx>
            <c:rich>
              <a:bodyPr rot="-5400000" vert="horz"/>
              <a:lstStyle/>
              <a:p>
                <a:pPr>
                  <a:defRPr sz="1600"/>
                </a:pPr>
                <a:r>
                  <a:rPr lang="en-US" sz="1600"/>
                  <a:t>Indirect Task Time (Minutes)</a:t>
                </a:r>
              </a:p>
            </c:rich>
          </c:tx>
          <c:layout/>
          <c:overlay val="0"/>
        </c:title>
        <c:numFmt formatCode="0.00" sourceLinked="1"/>
        <c:majorTickMark val="out"/>
        <c:minorTickMark val="none"/>
        <c:tickLblPos val="nextTo"/>
        <c:txPr>
          <a:bodyPr/>
          <a:lstStyle/>
          <a:p>
            <a:pPr>
              <a:defRPr sz="1200"/>
            </a:pPr>
            <a:endParaRPr lang="en-US"/>
          </a:p>
        </c:txPr>
        <c:crossAx val="81682432"/>
        <c:crosses val="autoZero"/>
        <c:crossBetween val="midCat"/>
      </c:valAx>
    </c:plotArea>
    <c:legend>
      <c:legendPos val="b"/>
      <c:layout>
        <c:manualLayout>
          <c:xMode val="edge"/>
          <c:yMode val="edge"/>
          <c:x val="9.6219925884792987E-2"/>
          <c:y val="0.79179455767754758"/>
          <c:w val="0.75535959748041293"/>
          <c:h val="0.18947992346339126"/>
        </c:manualLayout>
      </c:layout>
      <c:overlay val="0"/>
    </c:legend>
    <c:plotVisOnly val="1"/>
    <c:dispBlanksAs val="gap"/>
    <c:showDLblsOverMax val="0"/>
  </c:chart>
  <c:printSettings>
    <c:headerFooter/>
    <c:pageMargins b="0.75000000000000189" l="0.70000000000000062" r="0.70000000000000062" t="0.7500000000000018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a:pPr>
            <a:r>
              <a:rPr lang="en-US" sz="2000"/>
              <a:t>Indirect Multiplier</a:t>
            </a:r>
          </a:p>
        </c:rich>
      </c:tx>
      <c:layout/>
      <c:overlay val="0"/>
    </c:title>
    <c:autoTitleDeleted val="0"/>
    <c:plotArea>
      <c:layout/>
      <c:scatterChart>
        <c:scatterStyle val="lineMarker"/>
        <c:varyColors val="0"/>
        <c:ser>
          <c:idx val="3"/>
          <c:order val="0"/>
          <c:tx>
            <c:v>All Plants</c:v>
          </c:tx>
          <c:spPr>
            <a:ln w="28575">
              <a:noFill/>
            </a:ln>
          </c:spPr>
          <c:marker>
            <c:symbol val="circle"/>
            <c:size val="6"/>
            <c:spPr>
              <a:solidFill>
                <a:srgbClr val="0070C0"/>
              </a:solidFill>
              <a:ln>
                <a:noFill/>
              </a:ln>
            </c:spPr>
          </c:marker>
          <c:trendline>
            <c:name>Best fit for measured data</c:name>
            <c:spPr>
              <a:ln w="38100">
                <a:solidFill>
                  <a:srgbClr val="0070C0"/>
                </a:solidFill>
              </a:ln>
            </c:spPr>
            <c:trendlineType val="linear"/>
            <c:dispRSqr val="0"/>
            <c:dispEq val="1"/>
            <c:trendlineLbl>
              <c:layout>
                <c:manualLayout>
                  <c:x val="0.15051706133910042"/>
                  <c:y val="-2.732072158755328E-2"/>
                </c:manualLayout>
              </c:layout>
              <c:numFmt formatCode="General" sourceLinked="0"/>
            </c:trendlineLbl>
          </c:trendline>
          <c:xVal>
            <c:numRef>
              <c:f>'Indirect vs Direct'!$C$5:$CL$5</c:f>
              <c:numCache>
                <c:formatCode>0.00</c:formatCode>
                <c:ptCount val="88"/>
                <c:pt idx="0">
                  <c:v>40.016666666666666</c:v>
                </c:pt>
                <c:pt idx="1">
                  <c:v>38.899000000000008</c:v>
                </c:pt>
                <c:pt idx="2">
                  <c:v>32.733333333333334</c:v>
                </c:pt>
                <c:pt idx="3">
                  <c:v>26.717999999999993</c:v>
                </c:pt>
                <c:pt idx="4">
                  <c:v>25.465999999999998</c:v>
                </c:pt>
                <c:pt idx="5">
                  <c:v>24.65</c:v>
                </c:pt>
                <c:pt idx="6">
                  <c:v>57.766666666666666</c:v>
                </c:pt>
                <c:pt idx="7">
                  <c:v>44.332999999999998</c:v>
                </c:pt>
                <c:pt idx="8">
                  <c:v>29.419</c:v>
                </c:pt>
                <c:pt idx="9">
                  <c:v>41.783000000000001</c:v>
                </c:pt>
                <c:pt idx="10">
                  <c:v>36.5837</c:v>
                </c:pt>
                <c:pt idx="11">
                  <c:v>24.417000000000002</c:v>
                </c:pt>
                <c:pt idx="12">
                  <c:v>42.265999999999998</c:v>
                </c:pt>
                <c:pt idx="13">
                  <c:v>48.048999999999992</c:v>
                </c:pt>
                <c:pt idx="14">
                  <c:v>15.75</c:v>
                </c:pt>
                <c:pt idx="15">
                  <c:v>19.420999999999999</c:v>
                </c:pt>
                <c:pt idx="16">
                  <c:v>35.667000000000002</c:v>
                </c:pt>
                <c:pt idx="17">
                  <c:v>40.149700000000003</c:v>
                </c:pt>
                <c:pt idx="18">
                  <c:v>62.499000000000009</c:v>
                </c:pt>
                <c:pt idx="19">
                  <c:v>31.766300000000001</c:v>
                </c:pt>
                <c:pt idx="20">
                  <c:v>32.850300000000004</c:v>
                </c:pt>
                <c:pt idx="21">
                  <c:v>51.498699999999999</c:v>
                </c:pt>
                <c:pt idx="22">
                  <c:v>27.980000000000004</c:v>
                </c:pt>
                <c:pt idx="23">
                  <c:v>15.433</c:v>
                </c:pt>
                <c:pt idx="24">
                  <c:v>53.549700000000001</c:v>
                </c:pt>
                <c:pt idx="25">
                  <c:v>27.739000000000001</c:v>
                </c:pt>
                <c:pt idx="26">
                  <c:v>23.023300000000003</c:v>
                </c:pt>
                <c:pt idx="27">
                  <c:v>43.187000000000005</c:v>
                </c:pt>
                <c:pt idx="28">
                  <c:v>41.3504</c:v>
                </c:pt>
                <c:pt idx="29">
                  <c:v>28.849000000000004</c:v>
                </c:pt>
                <c:pt idx="30">
                  <c:v>29.700000000000003</c:v>
                </c:pt>
                <c:pt idx="31">
                  <c:v>43.500700000000002</c:v>
                </c:pt>
                <c:pt idx="32">
                  <c:v>41.670999999999999</c:v>
                </c:pt>
                <c:pt idx="33">
                  <c:v>35.482999999999997</c:v>
                </c:pt>
                <c:pt idx="34">
                  <c:v>52.750999999999998</c:v>
                </c:pt>
                <c:pt idx="35">
                  <c:v>36.750000000000007</c:v>
                </c:pt>
                <c:pt idx="36">
                  <c:v>39.349999999999994</c:v>
                </c:pt>
                <c:pt idx="37">
                  <c:v>40.414999999999999</c:v>
                </c:pt>
                <c:pt idx="38">
                  <c:v>33.766000000000005</c:v>
                </c:pt>
                <c:pt idx="39">
                  <c:v>22.016399999999997</c:v>
                </c:pt>
                <c:pt idx="40">
                  <c:v>30.051000000000002</c:v>
                </c:pt>
                <c:pt idx="41">
                  <c:v>59.820500000000003</c:v>
                </c:pt>
                <c:pt idx="42">
                  <c:v>38.116999999999997</c:v>
                </c:pt>
                <c:pt idx="43">
                  <c:v>32.9</c:v>
                </c:pt>
                <c:pt idx="44">
                  <c:v>20.515999999999998</c:v>
                </c:pt>
                <c:pt idx="45">
                  <c:v>51.100299999999997</c:v>
                </c:pt>
                <c:pt idx="46">
                  <c:v>61.084000000000003</c:v>
                </c:pt>
                <c:pt idx="47">
                  <c:v>26.166</c:v>
                </c:pt>
                <c:pt idx="48">
                  <c:v>46.199700000000007</c:v>
                </c:pt>
                <c:pt idx="49">
                  <c:v>57.5336</c:v>
                </c:pt>
                <c:pt idx="50">
                  <c:v>20.882999999999999</c:v>
                </c:pt>
                <c:pt idx="51">
                  <c:v>42.416000000000004</c:v>
                </c:pt>
                <c:pt idx="52">
                  <c:v>41.515999999999998</c:v>
                </c:pt>
                <c:pt idx="53">
                  <c:v>29.432299999999998</c:v>
                </c:pt>
                <c:pt idx="54">
                  <c:v>29.467000000000002</c:v>
                </c:pt>
                <c:pt idx="55">
                  <c:v>34.645199999999996</c:v>
                </c:pt>
                <c:pt idx="56">
                  <c:v>36.266299999999994</c:v>
                </c:pt>
                <c:pt idx="57">
                  <c:v>19.541999999999998</c:v>
                </c:pt>
                <c:pt idx="58">
                  <c:v>25.966999999999999</c:v>
                </c:pt>
                <c:pt idx="59">
                  <c:v>13.1</c:v>
                </c:pt>
                <c:pt idx="60">
                  <c:v>37.509300000000003</c:v>
                </c:pt>
                <c:pt idx="61">
                  <c:v>19.549299999999999</c:v>
                </c:pt>
                <c:pt idx="62">
                  <c:v>31.0717</c:v>
                </c:pt>
                <c:pt idx="63">
                  <c:v>28.6493</c:v>
                </c:pt>
                <c:pt idx="64">
                  <c:v>60.104999999999997</c:v>
                </c:pt>
                <c:pt idx="65">
                  <c:v>21.351000000000003</c:v>
                </c:pt>
                <c:pt idx="66">
                  <c:v>33.483700000000006</c:v>
                </c:pt>
                <c:pt idx="67">
                  <c:v>46.535999999999994</c:v>
                </c:pt>
                <c:pt idx="68">
                  <c:v>46.982999999999997</c:v>
                </c:pt>
                <c:pt idx="69">
                  <c:v>64.816300000000012</c:v>
                </c:pt>
                <c:pt idx="70">
                  <c:v>45.216999999999999</c:v>
                </c:pt>
                <c:pt idx="71">
                  <c:v>46.216999999999992</c:v>
                </c:pt>
                <c:pt idx="72">
                  <c:v>15.716700000000001</c:v>
                </c:pt>
                <c:pt idx="73">
                  <c:v>8.3333000000000013</c:v>
                </c:pt>
                <c:pt idx="74">
                  <c:v>32.732700000000001</c:v>
                </c:pt>
                <c:pt idx="75">
                  <c:v>6.2006999999999994</c:v>
                </c:pt>
                <c:pt idx="76">
                  <c:v>48.466999999999999</c:v>
                </c:pt>
                <c:pt idx="77">
                  <c:v>39.884000000000007</c:v>
                </c:pt>
                <c:pt idx="78">
                  <c:v>39.701999999999998</c:v>
                </c:pt>
                <c:pt idx="79">
                  <c:v>8.85</c:v>
                </c:pt>
                <c:pt idx="80">
                  <c:v>18.533000000000001</c:v>
                </c:pt>
                <c:pt idx="81">
                  <c:v>48.633299999999998</c:v>
                </c:pt>
                <c:pt idx="82">
                  <c:v>27.3</c:v>
                </c:pt>
                <c:pt idx="83">
                  <c:v>63</c:v>
                </c:pt>
                <c:pt idx="84">
                  <c:v>30.383000000000003</c:v>
                </c:pt>
                <c:pt idx="85">
                  <c:v>52.516999999999996</c:v>
                </c:pt>
                <c:pt idx="86">
                  <c:v>67.398499999999999</c:v>
                </c:pt>
                <c:pt idx="87">
                  <c:v>33.482999999999997</c:v>
                </c:pt>
              </c:numCache>
            </c:numRef>
          </c:xVal>
          <c:yVal>
            <c:numRef>
              <c:f>'Indirect vs Direct'!$C$6:$CL$6</c:f>
              <c:numCache>
                <c:formatCode>0.00</c:formatCode>
                <c:ptCount val="88"/>
                <c:pt idx="0">
                  <c:v>21.25</c:v>
                </c:pt>
                <c:pt idx="1">
                  <c:v>17.266999999999996</c:v>
                </c:pt>
                <c:pt idx="2">
                  <c:v>37.800000000000004</c:v>
                </c:pt>
                <c:pt idx="3">
                  <c:v>22.699999999999996</c:v>
                </c:pt>
                <c:pt idx="4">
                  <c:v>17.683</c:v>
                </c:pt>
                <c:pt idx="5">
                  <c:v>21.816666666666666</c:v>
                </c:pt>
                <c:pt idx="6">
                  <c:v>17.95</c:v>
                </c:pt>
                <c:pt idx="7">
                  <c:v>29.099999999999998</c:v>
                </c:pt>
                <c:pt idx="8">
                  <c:v>18.364799999999999</c:v>
                </c:pt>
                <c:pt idx="9">
                  <c:v>38.783000000000001</c:v>
                </c:pt>
                <c:pt idx="10">
                  <c:v>27.867000000000001</c:v>
                </c:pt>
                <c:pt idx="11">
                  <c:v>27.299999999999997</c:v>
                </c:pt>
                <c:pt idx="12">
                  <c:v>12.533999999999999</c:v>
                </c:pt>
                <c:pt idx="13">
                  <c:v>28.850999999999999</c:v>
                </c:pt>
                <c:pt idx="14">
                  <c:v>19.249299999999998</c:v>
                </c:pt>
                <c:pt idx="15">
                  <c:v>14.064499999999999</c:v>
                </c:pt>
                <c:pt idx="16">
                  <c:v>26.050999999999998</c:v>
                </c:pt>
                <c:pt idx="17">
                  <c:v>27.166999999999998</c:v>
                </c:pt>
                <c:pt idx="18">
                  <c:v>35.849999999999994</c:v>
                </c:pt>
                <c:pt idx="19">
                  <c:v>14.600000000000001</c:v>
                </c:pt>
                <c:pt idx="20">
                  <c:v>21.95</c:v>
                </c:pt>
                <c:pt idx="21">
                  <c:v>18.533000000000001</c:v>
                </c:pt>
                <c:pt idx="22">
                  <c:v>16.400000000000002</c:v>
                </c:pt>
                <c:pt idx="23">
                  <c:v>31.1</c:v>
                </c:pt>
                <c:pt idx="24">
                  <c:v>16.967300000000002</c:v>
                </c:pt>
                <c:pt idx="25">
                  <c:v>13.353499999999999</c:v>
                </c:pt>
                <c:pt idx="26">
                  <c:v>13.178000000000001</c:v>
                </c:pt>
                <c:pt idx="27">
                  <c:v>20.265999999999998</c:v>
                </c:pt>
                <c:pt idx="28">
                  <c:v>16.150300000000001</c:v>
                </c:pt>
                <c:pt idx="29">
                  <c:v>28.183299999999999</c:v>
                </c:pt>
                <c:pt idx="30">
                  <c:v>20.2163</c:v>
                </c:pt>
                <c:pt idx="31">
                  <c:v>21.300000000000004</c:v>
                </c:pt>
                <c:pt idx="32">
                  <c:v>23.132999999999999</c:v>
                </c:pt>
                <c:pt idx="33">
                  <c:v>29.082999999999998</c:v>
                </c:pt>
                <c:pt idx="34">
                  <c:v>27.716999999999999</c:v>
                </c:pt>
                <c:pt idx="35">
                  <c:v>12.149999999999999</c:v>
                </c:pt>
                <c:pt idx="36">
                  <c:v>31.971999999999998</c:v>
                </c:pt>
                <c:pt idx="37">
                  <c:v>30.716300000000004</c:v>
                </c:pt>
                <c:pt idx="38">
                  <c:v>27.817</c:v>
                </c:pt>
                <c:pt idx="39">
                  <c:v>24.167000000000002</c:v>
                </c:pt>
                <c:pt idx="40">
                  <c:v>11.967000000000002</c:v>
                </c:pt>
                <c:pt idx="41">
                  <c:v>19.408999999999999</c:v>
                </c:pt>
                <c:pt idx="42">
                  <c:v>16.032999999999998</c:v>
                </c:pt>
                <c:pt idx="43">
                  <c:v>22.683</c:v>
                </c:pt>
                <c:pt idx="44">
                  <c:v>34.224299999999999</c:v>
                </c:pt>
                <c:pt idx="45">
                  <c:v>30.300999999999998</c:v>
                </c:pt>
                <c:pt idx="46">
                  <c:v>18</c:v>
                </c:pt>
                <c:pt idx="47">
                  <c:v>17.233000000000001</c:v>
                </c:pt>
                <c:pt idx="48">
                  <c:v>15.481999999999999</c:v>
                </c:pt>
                <c:pt idx="49">
                  <c:v>19.165699999999998</c:v>
                </c:pt>
                <c:pt idx="50">
                  <c:v>26.967000000000006</c:v>
                </c:pt>
                <c:pt idx="51">
                  <c:v>19.5167</c:v>
                </c:pt>
                <c:pt idx="52">
                  <c:v>20.049999999999997</c:v>
                </c:pt>
                <c:pt idx="53">
                  <c:v>26.700299999999999</c:v>
                </c:pt>
                <c:pt idx="54">
                  <c:v>18.183</c:v>
                </c:pt>
                <c:pt idx="55">
                  <c:v>19.497999999999998</c:v>
                </c:pt>
                <c:pt idx="56">
                  <c:v>18.0337</c:v>
                </c:pt>
                <c:pt idx="57">
                  <c:v>16.351300000000002</c:v>
                </c:pt>
                <c:pt idx="58">
                  <c:v>26.85</c:v>
                </c:pt>
                <c:pt idx="59">
                  <c:v>12.082999999999998</c:v>
                </c:pt>
                <c:pt idx="60">
                  <c:v>23.386199999999999</c:v>
                </c:pt>
                <c:pt idx="61">
                  <c:v>9.7840000000000007</c:v>
                </c:pt>
                <c:pt idx="62">
                  <c:v>42.033999999999999</c:v>
                </c:pt>
                <c:pt idx="63">
                  <c:v>29.367000000000001</c:v>
                </c:pt>
                <c:pt idx="64">
                  <c:v>33.742000000000004</c:v>
                </c:pt>
                <c:pt idx="65">
                  <c:v>15.649000000000001</c:v>
                </c:pt>
                <c:pt idx="66">
                  <c:v>15.3</c:v>
                </c:pt>
                <c:pt idx="67">
                  <c:v>7.3056999999999981</c:v>
                </c:pt>
                <c:pt idx="68">
                  <c:v>12.067</c:v>
                </c:pt>
                <c:pt idx="69">
                  <c:v>18.183</c:v>
                </c:pt>
                <c:pt idx="70">
                  <c:v>24.083300000000008</c:v>
                </c:pt>
                <c:pt idx="71">
                  <c:v>19.883299999999998</c:v>
                </c:pt>
                <c:pt idx="72">
                  <c:v>17.183299999999999</c:v>
                </c:pt>
                <c:pt idx="73">
                  <c:v>15.767000000000001</c:v>
                </c:pt>
                <c:pt idx="74">
                  <c:v>21.083000000000002</c:v>
                </c:pt>
                <c:pt idx="75">
                  <c:v>13.616</c:v>
                </c:pt>
                <c:pt idx="76">
                  <c:v>33.683</c:v>
                </c:pt>
                <c:pt idx="77">
                  <c:v>26.1</c:v>
                </c:pt>
                <c:pt idx="78">
                  <c:v>10.867000000000001</c:v>
                </c:pt>
                <c:pt idx="79">
                  <c:v>8.5829999999999984</c:v>
                </c:pt>
                <c:pt idx="80">
                  <c:v>19.566299999999998</c:v>
                </c:pt>
                <c:pt idx="81">
                  <c:v>28.067</c:v>
                </c:pt>
                <c:pt idx="82">
                  <c:v>44.132999999999996</c:v>
                </c:pt>
                <c:pt idx="83">
                  <c:v>22.5</c:v>
                </c:pt>
                <c:pt idx="84">
                  <c:v>21.25</c:v>
                </c:pt>
                <c:pt idx="85">
                  <c:v>23.483000000000004</c:v>
                </c:pt>
                <c:pt idx="86">
                  <c:v>14.968999999999998</c:v>
                </c:pt>
                <c:pt idx="87">
                  <c:v>23.798999999999999</c:v>
                </c:pt>
              </c:numCache>
            </c:numRef>
          </c:yVal>
          <c:smooth val="0"/>
        </c:ser>
        <c:ser>
          <c:idx val="4"/>
          <c:order val="1"/>
          <c:tx>
            <c:strRef>
              <c:f>'Indirect vs Direct'!$B$50</c:f>
              <c:strCache>
                <c:ptCount val="1"/>
                <c:pt idx="0">
                  <c:v> </c:v>
                </c:pt>
              </c:strCache>
            </c:strRef>
          </c:tx>
          <c:spPr>
            <a:ln w="28575">
              <a:noFill/>
            </a:ln>
          </c:spPr>
          <c:marker>
            <c:spPr>
              <a:ln>
                <a:solidFill>
                  <a:schemeClr val="bg1"/>
                </a:solidFill>
              </a:ln>
            </c:spPr>
          </c:marker>
          <c:trendline>
            <c:name>Line for expected multiplier of 1.8</c:name>
            <c:spPr>
              <a:ln>
                <a:solidFill>
                  <a:srgbClr val="FF0000"/>
                </a:solidFill>
              </a:ln>
            </c:spPr>
            <c:trendlineType val="linear"/>
            <c:dispRSqr val="0"/>
            <c:dispEq val="1"/>
            <c:trendlineLbl>
              <c:layout>
                <c:manualLayout>
                  <c:x val="-3.4791358441085475E-2"/>
                  <c:y val="-1.28857132295083E-3"/>
                </c:manualLayout>
              </c:layout>
              <c:numFmt formatCode="General" sourceLinked="0"/>
            </c:trendlineLbl>
          </c:trendline>
          <c:xVal>
            <c:numRef>
              <c:f>'Indirect vs Direct'!$C$50:$R$50</c:f>
              <c:numCache>
                <c:formatCode>General</c:formatCode>
                <c:ptCount val="16"/>
                <c:pt idx="0">
                  <c:v>5</c:v>
                </c:pt>
                <c:pt idx="1">
                  <c:v>10</c:v>
                </c:pt>
                <c:pt idx="2">
                  <c:v>15</c:v>
                </c:pt>
                <c:pt idx="3">
                  <c:v>20</c:v>
                </c:pt>
                <c:pt idx="4">
                  <c:v>25</c:v>
                </c:pt>
                <c:pt idx="5">
                  <c:v>30</c:v>
                </c:pt>
                <c:pt idx="6">
                  <c:v>35</c:v>
                </c:pt>
                <c:pt idx="7">
                  <c:v>40</c:v>
                </c:pt>
                <c:pt idx="8">
                  <c:v>45</c:v>
                </c:pt>
                <c:pt idx="9">
                  <c:v>50</c:v>
                </c:pt>
                <c:pt idx="10">
                  <c:v>55</c:v>
                </c:pt>
                <c:pt idx="11">
                  <c:v>60</c:v>
                </c:pt>
                <c:pt idx="12">
                  <c:v>65</c:v>
                </c:pt>
                <c:pt idx="13">
                  <c:v>70</c:v>
                </c:pt>
                <c:pt idx="14">
                  <c:v>75</c:v>
                </c:pt>
                <c:pt idx="15">
                  <c:v>80</c:v>
                </c:pt>
              </c:numCache>
            </c:numRef>
          </c:xVal>
          <c:yVal>
            <c:numRef>
              <c:f>'Indirect vs Direct'!$C$51:$R$51</c:f>
              <c:numCache>
                <c:formatCode>General</c:formatCode>
                <c:ptCount val="16"/>
                <c:pt idx="0">
                  <c:v>4</c:v>
                </c:pt>
                <c:pt idx="1">
                  <c:v>8</c:v>
                </c:pt>
                <c:pt idx="2">
                  <c:v>12</c:v>
                </c:pt>
                <c:pt idx="3">
                  <c:v>16</c:v>
                </c:pt>
                <c:pt idx="4">
                  <c:v>20</c:v>
                </c:pt>
                <c:pt idx="5">
                  <c:v>24</c:v>
                </c:pt>
                <c:pt idx="6">
                  <c:v>28</c:v>
                </c:pt>
                <c:pt idx="7">
                  <c:v>32</c:v>
                </c:pt>
                <c:pt idx="8">
                  <c:v>36</c:v>
                </c:pt>
                <c:pt idx="9">
                  <c:v>40</c:v>
                </c:pt>
                <c:pt idx="10">
                  <c:v>44</c:v>
                </c:pt>
                <c:pt idx="11">
                  <c:v>48</c:v>
                </c:pt>
                <c:pt idx="12">
                  <c:v>52</c:v>
                </c:pt>
                <c:pt idx="13">
                  <c:v>56</c:v>
                </c:pt>
                <c:pt idx="14">
                  <c:v>60</c:v>
                </c:pt>
                <c:pt idx="15">
                  <c:v>64</c:v>
                </c:pt>
              </c:numCache>
            </c:numRef>
          </c:yVal>
          <c:smooth val="0"/>
        </c:ser>
        <c:dLbls>
          <c:showLegendKey val="0"/>
          <c:showVal val="0"/>
          <c:showCatName val="0"/>
          <c:showSerName val="0"/>
          <c:showPercent val="0"/>
          <c:showBubbleSize val="0"/>
        </c:dLbls>
        <c:axId val="100300288"/>
        <c:axId val="100302208"/>
      </c:scatterChart>
      <c:valAx>
        <c:axId val="100300288"/>
        <c:scaling>
          <c:orientation val="minMax"/>
        </c:scaling>
        <c:delete val="0"/>
        <c:axPos val="b"/>
        <c:title>
          <c:tx>
            <c:rich>
              <a:bodyPr/>
              <a:lstStyle/>
              <a:p>
                <a:pPr>
                  <a:defRPr sz="1600"/>
                </a:pPr>
                <a:r>
                  <a:rPr lang="en-US" sz="1600"/>
                  <a:t>Direct Task Time (Minutes)</a:t>
                </a:r>
              </a:p>
            </c:rich>
          </c:tx>
          <c:layout/>
          <c:overlay val="0"/>
        </c:title>
        <c:numFmt formatCode="0.00" sourceLinked="1"/>
        <c:majorTickMark val="out"/>
        <c:minorTickMark val="none"/>
        <c:tickLblPos val="nextTo"/>
        <c:txPr>
          <a:bodyPr rot="-2700000"/>
          <a:lstStyle/>
          <a:p>
            <a:pPr>
              <a:defRPr sz="1200"/>
            </a:pPr>
            <a:endParaRPr lang="en-US"/>
          </a:p>
        </c:txPr>
        <c:crossAx val="100302208"/>
        <c:crosses val="autoZero"/>
        <c:crossBetween val="midCat"/>
      </c:valAx>
      <c:valAx>
        <c:axId val="100302208"/>
        <c:scaling>
          <c:orientation val="minMax"/>
        </c:scaling>
        <c:delete val="0"/>
        <c:axPos val="l"/>
        <c:majorGridlines/>
        <c:title>
          <c:tx>
            <c:rich>
              <a:bodyPr rot="-5400000" vert="horz"/>
              <a:lstStyle/>
              <a:p>
                <a:pPr>
                  <a:defRPr sz="1600"/>
                </a:pPr>
                <a:r>
                  <a:rPr lang="en-US" sz="1600"/>
                  <a:t>Indirect Task Time (Minutes)</a:t>
                </a:r>
              </a:p>
            </c:rich>
          </c:tx>
          <c:layout/>
          <c:overlay val="0"/>
        </c:title>
        <c:numFmt formatCode="0.00" sourceLinked="1"/>
        <c:majorTickMark val="out"/>
        <c:minorTickMark val="none"/>
        <c:tickLblPos val="nextTo"/>
        <c:txPr>
          <a:bodyPr/>
          <a:lstStyle/>
          <a:p>
            <a:pPr>
              <a:defRPr sz="1200"/>
            </a:pPr>
            <a:endParaRPr lang="en-US"/>
          </a:p>
        </c:txPr>
        <c:crossAx val="100300288"/>
        <c:crosses val="autoZero"/>
        <c:crossBetween val="midCat"/>
      </c:valAx>
    </c:plotArea>
    <c:legend>
      <c:legendPos val="b"/>
      <c:layout>
        <c:manualLayout>
          <c:xMode val="edge"/>
          <c:yMode val="edge"/>
          <c:x val="9.6219925884793001E-2"/>
          <c:y val="0.89879752258647272"/>
          <c:w val="0.75535959748041315"/>
          <c:h val="8.2476958554465754E-2"/>
        </c:manualLayout>
      </c:layout>
      <c:overlay val="0"/>
    </c:legend>
    <c:plotVisOnly val="1"/>
    <c:dispBlanksAs val="gap"/>
    <c:showDLblsOverMax val="0"/>
  </c:chart>
  <c:printSettings>
    <c:headerFooter/>
    <c:pageMargins b="0.75000000000000211" l="0.70000000000000062" r="0.70000000000000062" t="0.750000000000002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a:pPr>
            <a:r>
              <a:rPr lang="en-US" sz="2400"/>
              <a:t>Task</a:t>
            </a:r>
            <a:r>
              <a:rPr lang="en-US" sz="2400" baseline="0"/>
              <a:t> Duration</a:t>
            </a:r>
          </a:p>
          <a:p>
            <a:pPr>
              <a:defRPr sz="2400"/>
            </a:pPr>
            <a:r>
              <a:rPr lang="en-US" sz="2400" baseline="0"/>
              <a:t>(Sorted by Plant Size)</a:t>
            </a:r>
            <a:endParaRPr lang="en-US" sz="2400"/>
          </a:p>
        </c:rich>
      </c:tx>
      <c:layout/>
      <c:overlay val="0"/>
    </c:title>
    <c:autoTitleDeleted val="0"/>
    <c:plotArea>
      <c:layout/>
      <c:barChart>
        <c:barDir val="col"/>
        <c:grouping val="clustered"/>
        <c:varyColors val="0"/>
        <c:ser>
          <c:idx val="0"/>
          <c:order val="0"/>
          <c:tx>
            <c:strRef>
              <c:f>'Total Pop'!$D$30</c:f>
              <c:strCache>
                <c:ptCount val="1"/>
                <c:pt idx="0">
                  <c:v>Average Duration (All Plants)</c:v>
                </c:pt>
              </c:strCache>
            </c:strRef>
          </c:tx>
          <c:invertIfNegative val="0"/>
          <c:cat>
            <c:strRef>
              <c:f>'Total Pop'!$B$31:$B$55</c:f>
              <c:strCache>
                <c:ptCount val="25"/>
                <c:pt idx="0">
                  <c:v>2.b.</c:v>
                </c:pt>
                <c:pt idx="1">
                  <c:v>2.c.</c:v>
                </c:pt>
                <c:pt idx="2">
                  <c:v>2.d.</c:v>
                </c:pt>
                <c:pt idx="3">
                  <c:v>2.e.</c:v>
                </c:pt>
                <c:pt idx="4">
                  <c:v>2.f.</c:v>
                </c:pt>
                <c:pt idx="5">
                  <c:v>2.g.</c:v>
                </c:pt>
                <c:pt idx="6">
                  <c:v>3.b.</c:v>
                </c:pt>
                <c:pt idx="7">
                  <c:v>3.c.</c:v>
                </c:pt>
                <c:pt idx="8">
                  <c:v>3.d.</c:v>
                </c:pt>
                <c:pt idx="9">
                  <c:v>3.e.</c:v>
                </c:pt>
                <c:pt idx="10">
                  <c:v>3.f.</c:v>
                </c:pt>
                <c:pt idx="11">
                  <c:v>3.g.</c:v>
                </c:pt>
                <c:pt idx="12">
                  <c:v>3.h.</c:v>
                </c:pt>
                <c:pt idx="13">
                  <c:v>3.i.</c:v>
                </c:pt>
                <c:pt idx="14">
                  <c:v>4.b.</c:v>
                </c:pt>
                <c:pt idx="15">
                  <c:v>4.c.</c:v>
                </c:pt>
                <c:pt idx="16">
                  <c:v>4.d.</c:v>
                </c:pt>
                <c:pt idx="17">
                  <c:v>4.e.</c:v>
                </c:pt>
                <c:pt idx="18">
                  <c:v>4.f.</c:v>
                </c:pt>
                <c:pt idx="19">
                  <c:v>4.g.</c:v>
                </c:pt>
                <c:pt idx="20">
                  <c:v>4.h.</c:v>
                </c:pt>
                <c:pt idx="21">
                  <c:v>4.i.</c:v>
                </c:pt>
                <c:pt idx="22">
                  <c:v>4.j.</c:v>
                </c:pt>
                <c:pt idx="23">
                  <c:v>4.k.</c:v>
                </c:pt>
                <c:pt idx="24">
                  <c:v>4.l.1</c:v>
                </c:pt>
              </c:strCache>
            </c:strRef>
          </c:cat>
          <c:val>
            <c:numRef>
              <c:f>'Total Pop'!$D$31:$D$55</c:f>
              <c:numCache>
                <c:formatCode>0.000</c:formatCode>
                <c:ptCount val="25"/>
                <c:pt idx="0">
                  <c:v>1.5541170454545459</c:v>
                </c:pt>
                <c:pt idx="1">
                  <c:v>0.39787537878787876</c:v>
                </c:pt>
                <c:pt idx="2">
                  <c:v>1.0530189393939393</c:v>
                </c:pt>
                <c:pt idx="3">
                  <c:v>0.89568106060606079</c:v>
                </c:pt>
                <c:pt idx="4">
                  <c:v>0.98730189393939416</c:v>
                </c:pt>
                <c:pt idx="5">
                  <c:v>0.90119507575757563</c:v>
                </c:pt>
                <c:pt idx="6">
                  <c:v>0.7146810606060604</c:v>
                </c:pt>
                <c:pt idx="7">
                  <c:v>1.6419715909090911</c:v>
                </c:pt>
                <c:pt idx="8">
                  <c:v>1.6447943181818183</c:v>
                </c:pt>
                <c:pt idx="9">
                  <c:v>4.6401704545454541</c:v>
                </c:pt>
                <c:pt idx="10">
                  <c:v>25.820344696969702</c:v>
                </c:pt>
                <c:pt idx="11">
                  <c:v>1.7289212121212123</c:v>
                </c:pt>
                <c:pt idx="12">
                  <c:v>2.2108621212121204</c:v>
                </c:pt>
                <c:pt idx="13">
                  <c:v>2.2886212121212122</c:v>
                </c:pt>
                <c:pt idx="14">
                  <c:v>1.7251856060606066</c:v>
                </c:pt>
                <c:pt idx="15">
                  <c:v>1.0125333333333335</c:v>
                </c:pt>
                <c:pt idx="16">
                  <c:v>0.64044810606060631</c:v>
                </c:pt>
                <c:pt idx="17">
                  <c:v>0.73617765151515158</c:v>
                </c:pt>
                <c:pt idx="18">
                  <c:v>0.55297727272727271</c:v>
                </c:pt>
                <c:pt idx="19">
                  <c:v>0.80802954545454542</c:v>
                </c:pt>
                <c:pt idx="20">
                  <c:v>0.59554659090909112</c:v>
                </c:pt>
                <c:pt idx="21">
                  <c:v>2.1144026515151513</c:v>
                </c:pt>
                <c:pt idx="22">
                  <c:v>0.64670340909090918</c:v>
                </c:pt>
                <c:pt idx="23">
                  <c:v>7.8978549242424227</c:v>
                </c:pt>
                <c:pt idx="24">
                  <c:v>1.361239015151515</c:v>
                </c:pt>
              </c:numCache>
            </c:numRef>
          </c:val>
        </c:ser>
        <c:ser>
          <c:idx val="4"/>
          <c:order val="1"/>
          <c:tx>
            <c:strRef>
              <c:f>'Total Pop'!$E$30</c:f>
              <c:strCache>
                <c:ptCount val="1"/>
                <c:pt idx="0">
                  <c:v>Average Duration (Large Plants)</c:v>
                </c:pt>
              </c:strCache>
            </c:strRef>
          </c:tx>
          <c:invertIfNegative val="0"/>
          <c:cat>
            <c:strRef>
              <c:f>'Total Pop'!$B$31:$B$55</c:f>
              <c:strCache>
                <c:ptCount val="25"/>
                <c:pt idx="0">
                  <c:v>2.b.</c:v>
                </c:pt>
                <c:pt idx="1">
                  <c:v>2.c.</c:v>
                </c:pt>
                <c:pt idx="2">
                  <c:v>2.d.</c:v>
                </c:pt>
                <c:pt idx="3">
                  <c:v>2.e.</c:v>
                </c:pt>
                <c:pt idx="4">
                  <c:v>2.f.</c:v>
                </c:pt>
                <c:pt idx="5">
                  <c:v>2.g.</c:v>
                </c:pt>
                <c:pt idx="6">
                  <c:v>3.b.</c:v>
                </c:pt>
                <c:pt idx="7">
                  <c:v>3.c.</c:v>
                </c:pt>
                <c:pt idx="8">
                  <c:v>3.d.</c:v>
                </c:pt>
                <c:pt idx="9">
                  <c:v>3.e.</c:v>
                </c:pt>
                <c:pt idx="10">
                  <c:v>3.f.</c:v>
                </c:pt>
                <c:pt idx="11">
                  <c:v>3.g.</c:v>
                </c:pt>
                <c:pt idx="12">
                  <c:v>3.h.</c:v>
                </c:pt>
                <c:pt idx="13">
                  <c:v>3.i.</c:v>
                </c:pt>
                <c:pt idx="14">
                  <c:v>4.b.</c:v>
                </c:pt>
                <c:pt idx="15">
                  <c:v>4.c.</c:v>
                </c:pt>
                <c:pt idx="16">
                  <c:v>4.d.</c:v>
                </c:pt>
                <c:pt idx="17">
                  <c:v>4.e.</c:v>
                </c:pt>
                <c:pt idx="18">
                  <c:v>4.f.</c:v>
                </c:pt>
                <c:pt idx="19">
                  <c:v>4.g.</c:v>
                </c:pt>
                <c:pt idx="20">
                  <c:v>4.h.</c:v>
                </c:pt>
                <c:pt idx="21">
                  <c:v>4.i.</c:v>
                </c:pt>
                <c:pt idx="22">
                  <c:v>4.j.</c:v>
                </c:pt>
                <c:pt idx="23">
                  <c:v>4.k.</c:v>
                </c:pt>
                <c:pt idx="24">
                  <c:v>4.l.1</c:v>
                </c:pt>
              </c:strCache>
            </c:strRef>
          </c:cat>
          <c:val>
            <c:numRef>
              <c:f>'Total Pop'!$E$31:$E$55</c:f>
              <c:numCache>
                <c:formatCode>0.000</c:formatCode>
                <c:ptCount val="25"/>
                <c:pt idx="0">
                  <c:v>1.3636555555555554</c:v>
                </c:pt>
                <c:pt idx="1">
                  <c:v>0.37553636363636372</c:v>
                </c:pt>
                <c:pt idx="2">
                  <c:v>0.78952727272727263</c:v>
                </c:pt>
                <c:pt idx="3">
                  <c:v>0.88562323232323226</c:v>
                </c:pt>
                <c:pt idx="4">
                  <c:v>1.0738383838383838</c:v>
                </c:pt>
                <c:pt idx="5">
                  <c:v>0.69079393939393929</c:v>
                </c:pt>
                <c:pt idx="6">
                  <c:v>1.282282828282828</c:v>
                </c:pt>
                <c:pt idx="7">
                  <c:v>2.3161828282828285</c:v>
                </c:pt>
                <c:pt idx="8">
                  <c:v>2.7085838383838388</c:v>
                </c:pt>
                <c:pt idx="9">
                  <c:v>4.8639303030303029</c:v>
                </c:pt>
                <c:pt idx="10">
                  <c:v>28.078201010101008</c:v>
                </c:pt>
                <c:pt idx="11">
                  <c:v>1.8873131313131311</c:v>
                </c:pt>
                <c:pt idx="12">
                  <c:v>3.2010717171717173</c:v>
                </c:pt>
                <c:pt idx="13">
                  <c:v>2.635705050505051</c:v>
                </c:pt>
                <c:pt idx="14">
                  <c:v>1.414949494949495</c:v>
                </c:pt>
                <c:pt idx="15">
                  <c:v>0.93833131313131291</c:v>
                </c:pt>
                <c:pt idx="16">
                  <c:v>0.57391717171717183</c:v>
                </c:pt>
                <c:pt idx="17">
                  <c:v>0.75450707070707068</c:v>
                </c:pt>
                <c:pt idx="18">
                  <c:v>0.47918383838383849</c:v>
                </c:pt>
                <c:pt idx="19">
                  <c:v>0.61926363636363624</c:v>
                </c:pt>
                <c:pt idx="20">
                  <c:v>0.52293535353535336</c:v>
                </c:pt>
                <c:pt idx="21">
                  <c:v>2.0485252525252524</c:v>
                </c:pt>
                <c:pt idx="22">
                  <c:v>0.54680000000000006</c:v>
                </c:pt>
                <c:pt idx="23">
                  <c:v>7.4135989898989898</c:v>
                </c:pt>
                <c:pt idx="24">
                  <c:v>1.1196141414141414</c:v>
                </c:pt>
              </c:numCache>
            </c:numRef>
          </c:val>
        </c:ser>
        <c:ser>
          <c:idx val="1"/>
          <c:order val="2"/>
          <c:tx>
            <c:strRef>
              <c:f>'Total Pop'!$F$30</c:f>
              <c:strCache>
                <c:ptCount val="1"/>
                <c:pt idx="0">
                  <c:v>Average Duration
(Med Plants)</c:v>
                </c:pt>
              </c:strCache>
            </c:strRef>
          </c:tx>
          <c:invertIfNegative val="0"/>
          <c:cat>
            <c:strRef>
              <c:f>'Total Pop'!$B$31:$B$55</c:f>
              <c:strCache>
                <c:ptCount val="25"/>
                <c:pt idx="0">
                  <c:v>2.b.</c:v>
                </c:pt>
                <c:pt idx="1">
                  <c:v>2.c.</c:v>
                </c:pt>
                <c:pt idx="2">
                  <c:v>2.d.</c:v>
                </c:pt>
                <c:pt idx="3">
                  <c:v>2.e.</c:v>
                </c:pt>
                <c:pt idx="4">
                  <c:v>2.f.</c:v>
                </c:pt>
                <c:pt idx="5">
                  <c:v>2.g.</c:v>
                </c:pt>
                <c:pt idx="6">
                  <c:v>3.b.</c:v>
                </c:pt>
                <c:pt idx="7">
                  <c:v>3.c.</c:v>
                </c:pt>
                <c:pt idx="8">
                  <c:v>3.d.</c:v>
                </c:pt>
                <c:pt idx="9">
                  <c:v>3.e.</c:v>
                </c:pt>
                <c:pt idx="10">
                  <c:v>3.f.</c:v>
                </c:pt>
                <c:pt idx="11">
                  <c:v>3.g.</c:v>
                </c:pt>
                <c:pt idx="12">
                  <c:v>3.h.</c:v>
                </c:pt>
                <c:pt idx="13">
                  <c:v>3.i.</c:v>
                </c:pt>
                <c:pt idx="14">
                  <c:v>4.b.</c:v>
                </c:pt>
                <c:pt idx="15">
                  <c:v>4.c.</c:v>
                </c:pt>
                <c:pt idx="16">
                  <c:v>4.d.</c:v>
                </c:pt>
                <c:pt idx="17">
                  <c:v>4.e.</c:v>
                </c:pt>
                <c:pt idx="18">
                  <c:v>4.f.</c:v>
                </c:pt>
                <c:pt idx="19">
                  <c:v>4.g.</c:v>
                </c:pt>
                <c:pt idx="20">
                  <c:v>4.h.</c:v>
                </c:pt>
                <c:pt idx="21">
                  <c:v>4.i.</c:v>
                </c:pt>
                <c:pt idx="22">
                  <c:v>4.j.</c:v>
                </c:pt>
                <c:pt idx="23">
                  <c:v>4.k.</c:v>
                </c:pt>
                <c:pt idx="24">
                  <c:v>4.l.1</c:v>
                </c:pt>
              </c:strCache>
            </c:strRef>
          </c:cat>
          <c:val>
            <c:numRef>
              <c:f>'Total Pop'!$F$31:$F$55</c:f>
              <c:numCache>
                <c:formatCode>0.000</c:formatCode>
                <c:ptCount val="25"/>
                <c:pt idx="0">
                  <c:v>1.3833793103448271</c:v>
                </c:pt>
                <c:pt idx="1">
                  <c:v>0.44425287356321852</c:v>
                </c:pt>
                <c:pt idx="2">
                  <c:v>1.1266252873563218</c:v>
                </c:pt>
                <c:pt idx="3">
                  <c:v>0.89460114942528746</c:v>
                </c:pt>
                <c:pt idx="4">
                  <c:v>1.0024034482758619</c:v>
                </c:pt>
                <c:pt idx="5">
                  <c:v>1.0894114942528736</c:v>
                </c:pt>
                <c:pt idx="6">
                  <c:v>0.25343103448275861</c:v>
                </c:pt>
                <c:pt idx="7">
                  <c:v>1.2236620689655171</c:v>
                </c:pt>
                <c:pt idx="8">
                  <c:v>1.2170000000000001</c:v>
                </c:pt>
                <c:pt idx="9">
                  <c:v>4.569872413793103</c:v>
                </c:pt>
                <c:pt idx="10">
                  <c:v>26.613863218390801</c:v>
                </c:pt>
                <c:pt idx="11">
                  <c:v>1.2699068965517246</c:v>
                </c:pt>
                <c:pt idx="12">
                  <c:v>1.6942965517241384</c:v>
                </c:pt>
                <c:pt idx="13">
                  <c:v>2.7041172413793091</c:v>
                </c:pt>
                <c:pt idx="14">
                  <c:v>1.817241379310345</c:v>
                </c:pt>
                <c:pt idx="15">
                  <c:v>1.0098620689655173</c:v>
                </c:pt>
                <c:pt idx="16">
                  <c:v>0.72658160919540227</c:v>
                </c:pt>
                <c:pt idx="17">
                  <c:v>0.69530000000000003</c:v>
                </c:pt>
                <c:pt idx="18">
                  <c:v>0.60952873563218379</c:v>
                </c:pt>
                <c:pt idx="19">
                  <c:v>1.1000137931034482</c:v>
                </c:pt>
                <c:pt idx="20">
                  <c:v>0.64725402298850576</c:v>
                </c:pt>
                <c:pt idx="21">
                  <c:v>2.1530712643678158</c:v>
                </c:pt>
                <c:pt idx="22">
                  <c:v>0.63675747126436777</c:v>
                </c:pt>
                <c:pt idx="23">
                  <c:v>8.7851011494252855</c:v>
                </c:pt>
                <c:pt idx="24">
                  <c:v>2.1458160919540226</c:v>
                </c:pt>
              </c:numCache>
            </c:numRef>
          </c:val>
        </c:ser>
        <c:ser>
          <c:idx val="2"/>
          <c:order val="3"/>
          <c:tx>
            <c:strRef>
              <c:f>'Total Pop'!$G$30</c:f>
              <c:strCache>
                <c:ptCount val="1"/>
                <c:pt idx="0">
                  <c:v>Average Duration (Small Plants)</c:v>
                </c:pt>
              </c:strCache>
            </c:strRef>
          </c:tx>
          <c:invertIfNegative val="0"/>
          <c:cat>
            <c:strRef>
              <c:f>'Total Pop'!$B$31:$B$55</c:f>
              <c:strCache>
                <c:ptCount val="25"/>
                <c:pt idx="0">
                  <c:v>2.b.</c:v>
                </c:pt>
                <c:pt idx="1">
                  <c:v>2.c.</c:v>
                </c:pt>
                <c:pt idx="2">
                  <c:v>2.d.</c:v>
                </c:pt>
                <c:pt idx="3">
                  <c:v>2.e.</c:v>
                </c:pt>
                <c:pt idx="4">
                  <c:v>2.f.</c:v>
                </c:pt>
                <c:pt idx="5">
                  <c:v>2.g.</c:v>
                </c:pt>
                <c:pt idx="6">
                  <c:v>3.b.</c:v>
                </c:pt>
                <c:pt idx="7">
                  <c:v>3.c.</c:v>
                </c:pt>
                <c:pt idx="8">
                  <c:v>3.d.</c:v>
                </c:pt>
                <c:pt idx="9">
                  <c:v>3.e.</c:v>
                </c:pt>
                <c:pt idx="10">
                  <c:v>3.f.</c:v>
                </c:pt>
                <c:pt idx="11">
                  <c:v>3.g.</c:v>
                </c:pt>
                <c:pt idx="12">
                  <c:v>3.h.</c:v>
                </c:pt>
                <c:pt idx="13">
                  <c:v>3.i.</c:v>
                </c:pt>
                <c:pt idx="14">
                  <c:v>4.b.</c:v>
                </c:pt>
                <c:pt idx="15">
                  <c:v>4.c.</c:v>
                </c:pt>
                <c:pt idx="16">
                  <c:v>4.d.</c:v>
                </c:pt>
                <c:pt idx="17">
                  <c:v>4.e.</c:v>
                </c:pt>
                <c:pt idx="18">
                  <c:v>4.f.</c:v>
                </c:pt>
                <c:pt idx="19">
                  <c:v>4.g.</c:v>
                </c:pt>
                <c:pt idx="20">
                  <c:v>4.h.</c:v>
                </c:pt>
                <c:pt idx="21">
                  <c:v>4.i.</c:v>
                </c:pt>
                <c:pt idx="22">
                  <c:v>4.j.</c:v>
                </c:pt>
                <c:pt idx="23">
                  <c:v>4.k.</c:v>
                </c:pt>
                <c:pt idx="24">
                  <c:v>4.l.1</c:v>
                </c:pt>
              </c:strCache>
            </c:strRef>
          </c:cat>
          <c:val>
            <c:numRef>
              <c:f>'Total Pop'!$G$31:$G$55</c:f>
              <c:numCache>
                <c:formatCode>0.000</c:formatCode>
                <c:ptCount val="25"/>
                <c:pt idx="0">
                  <c:v>1.5302777777777778</c:v>
                </c:pt>
                <c:pt idx="1">
                  <c:v>0.37170833333333314</c:v>
                </c:pt>
                <c:pt idx="2">
                  <c:v>1.3467430555555557</c:v>
                </c:pt>
                <c:pt idx="3">
                  <c:v>0.97505138888888909</c:v>
                </c:pt>
                <c:pt idx="4">
                  <c:v>0.92121666666666691</c:v>
                </c:pt>
                <c:pt idx="5">
                  <c:v>1.0381680555555555</c:v>
                </c:pt>
                <c:pt idx="6">
                  <c:v>0.53862916666666683</c:v>
                </c:pt>
                <c:pt idx="7">
                  <c:v>1.1363861111111111</c:v>
                </c:pt>
                <c:pt idx="8">
                  <c:v>0.75690138888888869</c:v>
                </c:pt>
                <c:pt idx="9">
                  <c:v>4.5895416666666664</c:v>
                </c:pt>
                <c:pt idx="10">
                  <c:v>21.989902777777775</c:v>
                </c:pt>
                <c:pt idx="11">
                  <c:v>1.8668097222222222</c:v>
                </c:pt>
                <c:pt idx="12">
                  <c:v>1.522329166666667</c:v>
                </c:pt>
                <c:pt idx="13">
                  <c:v>1.3694999999999997</c:v>
                </c:pt>
                <c:pt idx="14">
                  <c:v>2.0259583333333335</c:v>
                </c:pt>
                <c:pt idx="15">
                  <c:v>1.0834166666666667</c:v>
                </c:pt>
                <c:pt idx="16">
                  <c:v>0.64930416666666657</c:v>
                </c:pt>
                <c:pt idx="17">
                  <c:v>0.78627083333333359</c:v>
                </c:pt>
                <c:pt idx="18">
                  <c:v>0.61692916666666653</c:v>
                </c:pt>
                <c:pt idx="19">
                  <c:v>0.70777083333333357</c:v>
                </c:pt>
                <c:pt idx="20">
                  <c:v>0.66936944444444435</c:v>
                </c:pt>
                <c:pt idx="21">
                  <c:v>2.2379180555555549</c:v>
                </c:pt>
                <c:pt idx="22">
                  <c:v>0.84443888888888896</c:v>
                </c:pt>
                <c:pt idx="23">
                  <c:v>7.8115638888888874</c:v>
                </c:pt>
                <c:pt idx="24">
                  <c:v>0.84846250000000045</c:v>
                </c:pt>
              </c:numCache>
            </c:numRef>
          </c:val>
        </c:ser>
        <c:dLbls>
          <c:showLegendKey val="0"/>
          <c:showVal val="0"/>
          <c:showCatName val="0"/>
          <c:showSerName val="0"/>
          <c:showPercent val="0"/>
          <c:showBubbleSize val="0"/>
        </c:dLbls>
        <c:gapWidth val="150"/>
        <c:axId val="81144832"/>
        <c:axId val="81155200"/>
      </c:barChart>
      <c:catAx>
        <c:axId val="81144832"/>
        <c:scaling>
          <c:orientation val="minMax"/>
        </c:scaling>
        <c:delete val="0"/>
        <c:axPos val="b"/>
        <c:majorGridlines/>
        <c:title>
          <c:tx>
            <c:rich>
              <a:bodyPr/>
              <a:lstStyle/>
              <a:p>
                <a:pPr>
                  <a:defRPr sz="1600"/>
                </a:pPr>
                <a:r>
                  <a:rPr lang="en-US" sz="1600"/>
                  <a:t>Task #</a:t>
                </a:r>
              </a:p>
            </c:rich>
          </c:tx>
          <c:layout/>
          <c:overlay val="0"/>
        </c:title>
        <c:majorTickMark val="out"/>
        <c:minorTickMark val="none"/>
        <c:tickLblPos val="nextTo"/>
        <c:txPr>
          <a:bodyPr/>
          <a:lstStyle/>
          <a:p>
            <a:pPr>
              <a:defRPr sz="1200"/>
            </a:pPr>
            <a:endParaRPr lang="en-US"/>
          </a:p>
        </c:txPr>
        <c:crossAx val="81155200"/>
        <c:crosses val="autoZero"/>
        <c:auto val="1"/>
        <c:lblAlgn val="ctr"/>
        <c:lblOffset val="100"/>
        <c:noMultiLvlLbl val="0"/>
      </c:catAx>
      <c:valAx>
        <c:axId val="81155200"/>
        <c:scaling>
          <c:orientation val="minMax"/>
        </c:scaling>
        <c:delete val="0"/>
        <c:axPos val="l"/>
        <c:majorGridlines/>
        <c:title>
          <c:tx>
            <c:rich>
              <a:bodyPr rot="-5400000" vert="horz"/>
              <a:lstStyle/>
              <a:p>
                <a:pPr>
                  <a:defRPr sz="1600"/>
                </a:pPr>
                <a:r>
                  <a:rPr lang="en-US" sz="1600"/>
                  <a:t>Duration (Minutes)</a:t>
                </a:r>
              </a:p>
            </c:rich>
          </c:tx>
          <c:layout/>
          <c:overlay val="0"/>
        </c:title>
        <c:numFmt formatCode="0.0" sourceLinked="0"/>
        <c:majorTickMark val="out"/>
        <c:minorTickMark val="none"/>
        <c:tickLblPos val="nextTo"/>
        <c:txPr>
          <a:bodyPr/>
          <a:lstStyle/>
          <a:p>
            <a:pPr>
              <a:defRPr sz="1200"/>
            </a:pPr>
            <a:endParaRPr lang="en-US"/>
          </a:p>
        </c:txPr>
        <c:crossAx val="81144832"/>
        <c:crosses val="autoZero"/>
        <c:crossBetween val="between"/>
      </c:valAx>
    </c:plotArea>
    <c:legend>
      <c:legendPos val="r"/>
      <c:layout/>
      <c:overlay val="0"/>
    </c:legend>
    <c:plotVisOnly val="1"/>
    <c:dispBlanksAs val="gap"/>
    <c:showDLblsOverMax val="0"/>
  </c:chart>
  <c:printSettings>
    <c:headerFooter/>
    <c:pageMargins b="0.75000000000000167" l="0.70000000000000062" r="0.70000000000000062" t="0.75000000000000167" header="0.30000000000000032" footer="0.30000000000000032"/>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Indirect Multiplier,</a:t>
            </a:r>
            <a:r>
              <a:rPr lang="en-US" baseline="0"/>
              <a:t> by Plant Size</a:t>
            </a:r>
          </a:p>
          <a:p>
            <a:pPr>
              <a:defRPr/>
            </a:pPr>
            <a:r>
              <a:rPr lang="en-US"/>
              <a:t>(X-Axis</a:t>
            </a:r>
            <a:r>
              <a:rPr lang="en-US" baseline="0"/>
              <a:t> on Log Scale)</a:t>
            </a:r>
            <a:endParaRPr lang="en-US"/>
          </a:p>
        </c:rich>
      </c:tx>
      <c:layout/>
      <c:overlay val="0"/>
    </c:title>
    <c:autoTitleDeleted val="0"/>
    <c:plotArea>
      <c:layout/>
      <c:scatterChart>
        <c:scatterStyle val="lineMarker"/>
        <c:varyColors val="0"/>
        <c:ser>
          <c:idx val="0"/>
          <c:order val="0"/>
          <c:tx>
            <c:strRef>
              <c:f>'Total Pop'!$B$6</c:f>
              <c:strCache>
                <c:ptCount val="1"/>
                <c:pt idx="0">
                  <c:v>Indirect Multiplier</c:v>
                </c:pt>
              </c:strCache>
            </c:strRef>
          </c:tx>
          <c:spPr>
            <a:ln w="28575">
              <a:noFill/>
            </a:ln>
          </c:spPr>
          <c:trendline>
            <c:trendlineType val="log"/>
            <c:dispRSqr val="0"/>
            <c:dispEq val="0"/>
          </c:trendline>
          <c:xVal>
            <c:numRef>
              <c:f>'Total Pop'!$C$2:$CL$2</c:f>
              <c:numCache>
                <c:formatCode>0.00</c:formatCode>
                <c:ptCount val="88"/>
                <c:pt idx="0">
                  <c:v>35000</c:v>
                </c:pt>
                <c:pt idx="1">
                  <c:v>61000</c:v>
                </c:pt>
                <c:pt idx="2">
                  <c:v>14000</c:v>
                </c:pt>
                <c:pt idx="3">
                  <c:v>170000</c:v>
                </c:pt>
                <c:pt idx="4">
                  <c:v>4750</c:v>
                </c:pt>
                <c:pt idx="5">
                  <c:v>118000</c:v>
                </c:pt>
                <c:pt idx="6">
                  <c:v>3880</c:v>
                </c:pt>
                <c:pt idx="7">
                  <c:v>7000</c:v>
                </c:pt>
                <c:pt idx="8">
                  <c:v>2400</c:v>
                </c:pt>
                <c:pt idx="9">
                  <c:v>7764</c:v>
                </c:pt>
                <c:pt idx="10">
                  <c:v>3450</c:v>
                </c:pt>
                <c:pt idx="11">
                  <c:v>6000</c:v>
                </c:pt>
                <c:pt idx="12">
                  <c:v>223200</c:v>
                </c:pt>
                <c:pt idx="13">
                  <c:v>45000</c:v>
                </c:pt>
                <c:pt idx="14">
                  <c:v>16000</c:v>
                </c:pt>
                <c:pt idx="15">
                  <c:v>1000</c:v>
                </c:pt>
                <c:pt idx="16">
                  <c:v>7000</c:v>
                </c:pt>
                <c:pt idx="17">
                  <c:v>2500</c:v>
                </c:pt>
                <c:pt idx="18">
                  <c:v>20000</c:v>
                </c:pt>
                <c:pt idx="19">
                  <c:v>29568</c:v>
                </c:pt>
                <c:pt idx="20">
                  <c:v>10000</c:v>
                </c:pt>
                <c:pt idx="21">
                  <c:v>566670</c:v>
                </c:pt>
                <c:pt idx="22">
                  <c:v>500000</c:v>
                </c:pt>
                <c:pt idx="23">
                  <c:v>3600</c:v>
                </c:pt>
                <c:pt idx="24">
                  <c:v>11579</c:v>
                </c:pt>
                <c:pt idx="25">
                  <c:v>3821</c:v>
                </c:pt>
                <c:pt idx="26">
                  <c:v>3328</c:v>
                </c:pt>
                <c:pt idx="27">
                  <c:v>268000</c:v>
                </c:pt>
                <c:pt idx="28">
                  <c:v>121200</c:v>
                </c:pt>
                <c:pt idx="29">
                  <c:v>524000</c:v>
                </c:pt>
                <c:pt idx="30">
                  <c:v>3200</c:v>
                </c:pt>
                <c:pt idx="31">
                  <c:v>300</c:v>
                </c:pt>
                <c:pt idx="32">
                  <c:v>143220</c:v>
                </c:pt>
                <c:pt idx="33">
                  <c:v>750000</c:v>
                </c:pt>
                <c:pt idx="34">
                  <c:v>18500</c:v>
                </c:pt>
                <c:pt idx="35">
                  <c:v>54000</c:v>
                </c:pt>
                <c:pt idx="36">
                  <c:v>2850</c:v>
                </c:pt>
                <c:pt idx="37">
                  <c:v>3225</c:v>
                </c:pt>
                <c:pt idx="38">
                  <c:v>9800</c:v>
                </c:pt>
                <c:pt idx="39">
                  <c:v>27958</c:v>
                </c:pt>
                <c:pt idx="40">
                  <c:v>738038</c:v>
                </c:pt>
                <c:pt idx="41">
                  <c:v>11000</c:v>
                </c:pt>
                <c:pt idx="42">
                  <c:v>153395</c:v>
                </c:pt>
                <c:pt idx="43">
                  <c:v>688202</c:v>
                </c:pt>
                <c:pt idx="44">
                  <c:v>4000</c:v>
                </c:pt>
                <c:pt idx="45">
                  <c:v>9200</c:v>
                </c:pt>
                <c:pt idx="46">
                  <c:v>380489</c:v>
                </c:pt>
                <c:pt idx="47">
                  <c:v>22000</c:v>
                </c:pt>
                <c:pt idx="48">
                  <c:v>474000</c:v>
                </c:pt>
                <c:pt idx="49">
                  <c:v>50000</c:v>
                </c:pt>
                <c:pt idx="50">
                  <c:v>0</c:v>
                </c:pt>
                <c:pt idx="51">
                  <c:v>50000</c:v>
                </c:pt>
                <c:pt idx="52">
                  <c:v>50000</c:v>
                </c:pt>
                <c:pt idx="53">
                  <c:v>750000</c:v>
                </c:pt>
                <c:pt idx="54">
                  <c:v>750000</c:v>
                </c:pt>
                <c:pt idx="55">
                  <c:v>4900</c:v>
                </c:pt>
                <c:pt idx="56">
                  <c:v>6050</c:v>
                </c:pt>
                <c:pt idx="57">
                  <c:v>5200</c:v>
                </c:pt>
                <c:pt idx="58">
                  <c:v>2750</c:v>
                </c:pt>
                <c:pt idx="59">
                  <c:v>3000</c:v>
                </c:pt>
                <c:pt idx="60">
                  <c:v>117000</c:v>
                </c:pt>
                <c:pt idx="61">
                  <c:v>12220</c:v>
                </c:pt>
                <c:pt idx="62">
                  <c:v>4800</c:v>
                </c:pt>
                <c:pt idx="63">
                  <c:v>8000</c:v>
                </c:pt>
                <c:pt idx="64">
                  <c:v>928300</c:v>
                </c:pt>
                <c:pt idx="65">
                  <c:v>825000</c:v>
                </c:pt>
                <c:pt idx="66">
                  <c:v>800</c:v>
                </c:pt>
                <c:pt idx="67">
                  <c:v>25792</c:v>
                </c:pt>
                <c:pt idx="68">
                  <c:v>0</c:v>
                </c:pt>
                <c:pt idx="69">
                  <c:v>320964</c:v>
                </c:pt>
                <c:pt idx="70">
                  <c:v>10520</c:v>
                </c:pt>
                <c:pt idx="71">
                  <c:v>15000</c:v>
                </c:pt>
                <c:pt idx="72">
                  <c:v>8860</c:v>
                </c:pt>
                <c:pt idx="73">
                  <c:v>7021</c:v>
                </c:pt>
                <c:pt idx="74">
                  <c:v>40000</c:v>
                </c:pt>
                <c:pt idx="75">
                  <c:v>5000</c:v>
                </c:pt>
                <c:pt idx="76">
                  <c:v>3000</c:v>
                </c:pt>
                <c:pt idx="77">
                  <c:v>15000</c:v>
                </c:pt>
                <c:pt idx="78">
                  <c:v>154000</c:v>
                </c:pt>
                <c:pt idx="79">
                  <c:v>245000</c:v>
                </c:pt>
                <c:pt idx="80">
                  <c:v>3631</c:v>
                </c:pt>
                <c:pt idx="81">
                  <c:v>38900</c:v>
                </c:pt>
                <c:pt idx="82">
                  <c:v>11000</c:v>
                </c:pt>
                <c:pt idx="83">
                  <c:v>33000</c:v>
                </c:pt>
                <c:pt idx="84">
                  <c:v>3000</c:v>
                </c:pt>
                <c:pt idx="85">
                  <c:v>1800</c:v>
                </c:pt>
                <c:pt idx="86">
                  <c:v>20000</c:v>
                </c:pt>
                <c:pt idx="87">
                  <c:v>6935</c:v>
                </c:pt>
              </c:numCache>
            </c:numRef>
          </c:xVal>
          <c:yVal>
            <c:numRef>
              <c:f>'Total Pop'!$C$6:$CL$6</c:f>
              <c:numCache>
                <c:formatCode>0.00</c:formatCode>
                <c:ptCount val="88"/>
                <c:pt idx="0">
                  <c:v>1.5310287380258225</c:v>
                </c:pt>
                <c:pt idx="1">
                  <c:v>1.4438931592071773</c:v>
                </c:pt>
                <c:pt idx="2">
                  <c:v>2.1547861507128308</c:v>
                </c:pt>
                <c:pt idx="3">
                  <c:v>1.8496144921027025</c:v>
                </c:pt>
                <c:pt idx="4">
                  <c:v>1.6943768161470198</c:v>
                </c:pt>
                <c:pt idx="5">
                  <c:v>1.885057471264368</c:v>
                </c:pt>
                <c:pt idx="6">
                  <c:v>1.3107328332371611</c:v>
                </c:pt>
                <c:pt idx="7">
                  <c:v>1.6563959127512236</c:v>
                </c:pt>
                <c:pt idx="8">
                  <c:v>1.6242496345898909</c:v>
                </c:pt>
                <c:pt idx="9">
                  <c:v>1.9282004643036641</c:v>
                </c:pt>
                <c:pt idx="10">
                  <c:v>1.7617326842282217</c:v>
                </c:pt>
                <c:pt idx="11">
                  <c:v>2.1180734733996802</c:v>
                </c:pt>
                <c:pt idx="12">
                  <c:v>1.2965504187763215</c:v>
                </c:pt>
                <c:pt idx="13">
                  <c:v>1.6004495410934672</c:v>
                </c:pt>
                <c:pt idx="14">
                  <c:v>2.2221777777777776</c:v>
                </c:pt>
                <c:pt idx="15">
                  <c:v>1.7241903094588333</c:v>
                </c:pt>
                <c:pt idx="16">
                  <c:v>1.730395043036981</c:v>
                </c:pt>
                <c:pt idx="17">
                  <c:v>1.6766426648268853</c:v>
                </c:pt>
                <c:pt idx="18">
                  <c:v>1.5736091777468437</c:v>
                </c:pt>
                <c:pt idx="19">
                  <c:v>1.4596065641890934</c:v>
                </c:pt>
                <c:pt idx="20">
                  <c:v>1.6681826345573709</c:v>
                </c:pt>
                <c:pt idx="21">
                  <c:v>1.3598731618468038</c:v>
                </c:pt>
                <c:pt idx="22">
                  <c:v>1.5861329521086491</c:v>
                </c:pt>
                <c:pt idx="23">
                  <c:v>3.0151623145208322</c:v>
                </c:pt>
                <c:pt idx="24">
                  <c:v>1.3168514482807558</c:v>
                </c:pt>
                <c:pt idx="25">
                  <c:v>1.4813980316521864</c:v>
                </c:pt>
                <c:pt idx="26">
                  <c:v>1.5723766792770801</c:v>
                </c:pt>
                <c:pt idx="27">
                  <c:v>1.4692615833468403</c:v>
                </c:pt>
                <c:pt idx="28">
                  <c:v>1.3905717961615849</c:v>
                </c:pt>
                <c:pt idx="29">
                  <c:v>1.9769246767652258</c:v>
                </c:pt>
                <c:pt idx="30">
                  <c:v>1.6806835016835018</c:v>
                </c:pt>
                <c:pt idx="31">
                  <c:v>1.4896472930320663</c:v>
                </c:pt>
                <c:pt idx="32">
                  <c:v>1.5551342660363323</c:v>
                </c:pt>
                <c:pt idx="33">
                  <c:v>1.8196319364202578</c:v>
                </c:pt>
                <c:pt idx="34">
                  <c:v>1.525430797520426</c:v>
                </c:pt>
                <c:pt idx="35">
                  <c:v>1.3306122448979592</c:v>
                </c:pt>
                <c:pt idx="36">
                  <c:v>1.8125031766200763</c:v>
                </c:pt>
                <c:pt idx="37">
                  <c:v>1.7600222689595451</c:v>
                </c:pt>
                <c:pt idx="38">
                  <c:v>1.8238168571936266</c:v>
                </c:pt>
                <c:pt idx="39">
                  <c:v>2.0976817281662763</c:v>
                </c:pt>
                <c:pt idx="40">
                  <c:v>1.3982230208645303</c:v>
                </c:pt>
                <c:pt idx="41">
                  <c:v>1.3244539915246445</c:v>
                </c:pt>
                <c:pt idx="42">
                  <c:v>1.4206259674161135</c:v>
                </c:pt>
                <c:pt idx="43">
                  <c:v>1.6894528875379939</c:v>
                </c:pt>
                <c:pt idx="44">
                  <c:v>2.6681760577110549</c:v>
                </c:pt>
                <c:pt idx="45">
                  <c:v>1.5929710784476803</c:v>
                </c:pt>
                <c:pt idx="46">
                  <c:v>1.2946761836160041</c:v>
                </c:pt>
                <c:pt idx="47">
                  <c:v>1.6586027669494765</c:v>
                </c:pt>
                <c:pt idx="48">
                  <c:v>1.335110401149791</c:v>
                </c:pt>
                <c:pt idx="49">
                  <c:v>1.3331218627028378</c:v>
                </c:pt>
                <c:pt idx="50">
                  <c:v>2.2913374515155875</c:v>
                </c:pt>
                <c:pt idx="51">
                  <c:v>1.4601258958883441</c:v>
                </c:pt>
                <c:pt idx="52">
                  <c:v>1.4829463339435398</c:v>
                </c:pt>
                <c:pt idx="53">
                  <c:v>1.9071768091518502</c:v>
                </c:pt>
                <c:pt idx="54">
                  <c:v>1.6170631553941699</c:v>
                </c:pt>
                <c:pt idx="55">
                  <c:v>1.5627908050754507</c:v>
                </c:pt>
                <c:pt idx="56">
                  <c:v>1.4972577847753976</c:v>
                </c:pt>
                <c:pt idx="57">
                  <c:v>1.8367260259952922</c:v>
                </c:pt>
                <c:pt idx="58">
                  <c:v>2.0340046982708824</c:v>
                </c:pt>
                <c:pt idx="59">
                  <c:v>1.9223664122137405</c:v>
                </c:pt>
                <c:pt idx="60">
                  <c:v>1.6234773776103524</c:v>
                </c:pt>
                <c:pt idx="61">
                  <c:v>1.5004782779946086</c:v>
                </c:pt>
                <c:pt idx="62">
                  <c:v>2.3528065731839582</c:v>
                </c:pt>
                <c:pt idx="63">
                  <c:v>2.0250512228920079</c:v>
                </c:pt>
                <c:pt idx="64">
                  <c:v>1.5613842442392483</c:v>
                </c:pt>
                <c:pt idx="65">
                  <c:v>1.7329399091377451</c:v>
                </c:pt>
                <c:pt idx="66">
                  <c:v>1.4569387493018993</c:v>
                </c:pt>
                <c:pt idx="67">
                  <c:v>1.156990287089565</c:v>
                </c:pt>
                <c:pt idx="68">
                  <c:v>1.2568375795500499</c:v>
                </c:pt>
                <c:pt idx="69">
                  <c:v>1.2805312861116724</c:v>
                </c:pt>
                <c:pt idx="70">
                  <c:v>1.5326160514850611</c:v>
                </c:pt>
                <c:pt idx="71">
                  <c:v>1.4302161542289633</c:v>
                </c:pt>
                <c:pt idx="72">
                  <c:v>2.0933147543695556</c:v>
                </c:pt>
                <c:pt idx="73">
                  <c:v>2.8920475681902729</c:v>
                </c:pt>
                <c:pt idx="74">
                  <c:v>1.6440959651968827</c:v>
                </c:pt>
                <c:pt idx="75">
                  <c:v>3.1958811101972358</c:v>
                </c:pt>
                <c:pt idx="76">
                  <c:v>1.6949677099882396</c:v>
                </c:pt>
                <c:pt idx="77">
                  <c:v>1.6543977534851066</c:v>
                </c:pt>
                <c:pt idx="78">
                  <c:v>1.2737141705707522</c:v>
                </c:pt>
                <c:pt idx="79">
                  <c:v>1.9698305084745764</c:v>
                </c:pt>
                <c:pt idx="80">
                  <c:v>2.0557545999028757</c:v>
                </c:pt>
                <c:pt idx="81">
                  <c:v>1.577114857515324</c:v>
                </c:pt>
                <c:pt idx="82">
                  <c:v>2.6165934065934064</c:v>
                </c:pt>
                <c:pt idx="83">
                  <c:v>1.3571428571428572</c:v>
                </c:pt>
                <c:pt idx="84">
                  <c:v>1.6994042721258598</c:v>
                </c:pt>
                <c:pt idx="85">
                  <c:v>1.4471504465220786</c:v>
                </c:pt>
                <c:pt idx="86">
                  <c:v>1.2220969309405996</c:v>
                </c:pt>
                <c:pt idx="87">
                  <c:v>1.710778604067736</c:v>
                </c:pt>
              </c:numCache>
            </c:numRef>
          </c:yVal>
          <c:smooth val="0"/>
        </c:ser>
        <c:dLbls>
          <c:showLegendKey val="0"/>
          <c:showVal val="0"/>
          <c:showCatName val="0"/>
          <c:showSerName val="0"/>
          <c:showPercent val="0"/>
          <c:showBubbleSize val="0"/>
        </c:dLbls>
        <c:axId val="100338688"/>
        <c:axId val="100344960"/>
      </c:scatterChart>
      <c:valAx>
        <c:axId val="100338688"/>
        <c:scaling>
          <c:logBase val="10"/>
          <c:orientation val="minMax"/>
          <c:min val="10"/>
        </c:scaling>
        <c:delete val="0"/>
        <c:axPos val="b"/>
        <c:title>
          <c:tx>
            <c:rich>
              <a:bodyPr/>
              <a:lstStyle/>
              <a:p>
                <a:pPr>
                  <a:defRPr/>
                </a:pPr>
                <a:r>
                  <a:rPr lang="en-US"/>
                  <a:t>Plant Area (SqFt)</a:t>
                </a:r>
              </a:p>
            </c:rich>
          </c:tx>
          <c:layout/>
          <c:overlay val="0"/>
        </c:title>
        <c:numFmt formatCode="0.00" sourceLinked="1"/>
        <c:majorTickMark val="out"/>
        <c:minorTickMark val="in"/>
        <c:tickLblPos val="nextTo"/>
        <c:crossAx val="100344960"/>
        <c:crosses val="autoZero"/>
        <c:crossBetween val="midCat"/>
      </c:valAx>
      <c:valAx>
        <c:axId val="100344960"/>
        <c:scaling>
          <c:orientation val="minMax"/>
        </c:scaling>
        <c:delete val="0"/>
        <c:axPos val="l"/>
        <c:majorGridlines/>
        <c:title>
          <c:tx>
            <c:rich>
              <a:bodyPr rot="-5400000" vert="horz"/>
              <a:lstStyle/>
              <a:p>
                <a:pPr>
                  <a:defRPr/>
                </a:pPr>
                <a:r>
                  <a:rPr lang="en-US"/>
                  <a:t>Indirect</a:t>
                </a:r>
                <a:r>
                  <a:rPr lang="en-US" baseline="0"/>
                  <a:t> Multipler</a:t>
                </a:r>
                <a:endParaRPr lang="en-US"/>
              </a:p>
            </c:rich>
          </c:tx>
          <c:layout/>
          <c:overlay val="0"/>
        </c:title>
        <c:numFmt formatCode="0.00" sourceLinked="1"/>
        <c:majorTickMark val="out"/>
        <c:minorTickMark val="none"/>
        <c:tickLblPos val="nextTo"/>
        <c:crossAx val="100338688"/>
        <c:crosses val="autoZero"/>
        <c:crossBetween val="midCat"/>
      </c:valAx>
    </c:plotArea>
    <c:plotVisOnly val="1"/>
    <c:dispBlanksAs val="gap"/>
    <c:showDLblsOverMax val="0"/>
  </c:chart>
  <c:printSettings>
    <c:headerFooter/>
    <c:pageMargins b="0.750000000000001" l="0.70000000000000062" r="0.70000000000000062" t="0.750000000000001" header="0.30000000000000032" footer="0.30000000000000032"/>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Indirect Multiplier, by Plant Size</a:t>
            </a:r>
          </a:p>
        </c:rich>
      </c:tx>
      <c:layout/>
      <c:overlay val="0"/>
    </c:title>
    <c:autoTitleDeleted val="0"/>
    <c:plotArea>
      <c:layout/>
      <c:scatterChart>
        <c:scatterStyle val="lineMarker"/>
        <c:varyColors val="0"/>
        <c:ser>
          <c:idx val="0"/>
          <c:order val="0"/>
          <c:tx>
            <c:strRef>
              <c:f>'Total Pop'!$B$6</c:f>
              <c:strCache>
                <c:ptCount val="1"/>
                <c:pt idx="0">
                  <c:v>Indirect Multiplier</c:v>
                </c:pt>
              </c:strCache>
            </c:strRef>
          </c:tx>
          <c:spPr>
            <a:ln w="28575">
              <a:noFill/>
            </a:ln>
          </c:spPr>
          <c:xVal>
            <c:numRef>
              <c:f>'Total Pop'!$C$2:$CL$2</c:f>
              <c:numCache>
                <c:formatCode>0.00</c:formatCode>
                <c:ptCount val="88"/>
                <c:pt idx="0">
                  <c:v>35000</c:v>
                </c:pt>
                <c:pt idx="1">
                  <c:v>61000</c:v>
                </c:pt>
                <c:pt idx="2">
                  <c:v>14000</c:v>
                </c:pt>
                <c:pt idx="3">
                  <c:v>170000</c:v>
                </c:pt>
                <c:pt idx="4">
                  <c:v>4750</c:v>
                </c:pt>
                <c:pt idx="5">
                  <c:v>118000</c:v>
                </c:pt>
                <c:pt idx="6">
                  <c:v>3880</c:v>
                </c:pt>
                <c:pt idx="7">
                  <c:v>7000</c:v>
                </c:pt>
                <c:pt idx="8">
                  <c:v>2400</c:v>
                </c:pt>
                <c:pt idx="9">
                  <c:v>7764</c:v>
                </c:pt>
                <c:pt idx="10">
                  <c:v>3450</c:v>
                </c:pt>
                <c:pt idx="11">
                  <c:v>6000</c:v>
                </c:pt>
                <c:pt idx="12">
                  <c:v>223200</c:v>
                </c:pt>
                <c:pt idx="13">
                  <c:v>45000</c:v>
                </c:pt>
                <c:pt idx="14">
                  <c:v>16000</c:v>
                </c:pt>
                <c:pt idx="15">
                  <c:v>1000</c:v>
                </c:pt>
                <c:pt idx="16">
                  <c:v>7000</c:v>
                </c:pt>
                <c:pt idx="17">
                  <c:v>2500</c:v>
                </c:pt>
                <c:pt idx="18">
                  <c:v>20000</c:v>
                </c:pt>
                <c:pt idx="19">
                  <c:v>29568</c:v>
                </c:pt>
                <c:pt idx="20">
                  <c:v>10000</c:v>
                </c:pt>
                <c:pt idx="21">
                  <c:v>566670</c:v>
                </c:pt>
                <c:pt idx="22">
                  <c:v>500000</c:v>
                </c:pt>
                <c:pt idx="23">
                  <c:v>3600</c:v>
                </c:pt>
                <c:pt idx="24">
                  <c:v>11579</c:v>
                </c:pt>
                <c:pt idx="25">
                  <c:v>3821</c:v>
                </c:pt>
                <c:pt idx="26">
                  <c:v>3328</c:v>
                </c:pt>
                <c:pt idx="27">
                  <c:v>268000</c:v>
                </c:pt>
                <c:pt idx="28">
                  <c:v>121200</c:v>
                </c:pt>
                <c:pt idx="29">
                  <c:v>524000</c:v>
                </c:pt>
                <c:pt idx="30">
                  <c:v>3200</c:v>
                </c:pt>
                <c:pt idx="31">
                  <c:v>300</c:v>
                </c:pt>
                <c:pt idx="32">
                  <c:v>143220</c:v>
                </c:pt>
                <c:pt idx="33">
                  <c:v>750000</c:v>
                </c:pt>
                <c:pt idx="34">
                  <c:v>18500</c:v>
                </c:pt>
                <c:pt idx="35">
                  <c:v>54000</c:v>
                </c:pt>
                <c:pt idx="36">
                  <c:v>2850</c:v>
                </c:pt>
                <c:pt idx="37">
                  <c:v>3225</c:v>
                </c:pt>
                <c:pt idx="38">
                  <c:v>9800</c:v>
                </c:pt>
                <c:pt idx="39">
                  <c:v>27958</c:v>
                </c:pt>
                <c:pt idx="40">
                  <c:v>738038</c:v>
                </c:pt>
                <c:pt idx="41">
                  <c:v>11000</c:v>
                </c:pt>
                <c:pt idx="42">
                  <c:v>153395</c:v>
                </c:pt>
                <c:pt idx="43">
                  <c:v>688202</c:v>
                </c:pt>
                <c:pt idx="44">
                  <c:v>4000</c:v>
                </c:pt>
                <c:pt idx="45">
                  <c:v>9200</c:v>
                </c:pt>
                <c:pt idx="46">
                  <c:v>380489</c:v>
                </c:pt>
                <c:pt idx="47">
                  <c:v>22000</c:v>
                </c:pt>
                <c:pt idx="48">
                  <c:v>474000</c:v>
                </c:pt>
                <c:pt idx="49">
                  <c:v>50000</c:v>
                </c:pt>
                <c:pt idx="50">
                  <c:v>0</c:v>
                </c:pt>
                <c:pt idx="51">
                  <c:v>50000</c:v>
                </c:pt>
                <c:pt idx="52">
                  <c:v>50000</c:v>
                </c:pt>
                <c:pt idx="53">
                  <c:v>750000</c:v>
                </c:pt>
                <c:pt idx="54">
                  <c:v>750000</c:v>
                </c:pt>
                <c:pt idx="55">
                  <c:v>4900</c:v>
                </c:pt>
                <c:pt idx="56">
                  <c:v>6050</c:v>
                </c:pt>
                <c:pt idx="57">
                  <c:v>5200</c:v>
                </c:pt>
                <c:pt idx="58">
                  <c:v>2750</c:v>
                </c:pt>
                <c:pt idx="59">
                  <c:v>3000</c:v>
                </c:pt>
                <c:pt idx="60">
                  <c:v>117000</c:v>
                </c:pt>
                <c:pt idx="61">
                  <c:v>12220</c:v>
                </c:pt>
                <c:pt idx="62">
                  <c:v>4800</c:v>
                </c:pt>
                <c:pt idx="63">
                  <c:v>8000</c:v>
                </c:pt>
                <c:pt idx="64">
                  <c:v>928300</c:v>
                </c:pt>
                <c:pt idx="65">
                  <c:v>825000</c:v>
                </c:pt>
                <c:pt idx="66">
                  <c:v>800</c:v>
                </c:pt>
                <c:pt idx="67">
                  <c:v>25792</c:v>
                </c:pt>
                <c:pt idx="68">
                  <c:v>0</c:v>
                </c:pt>
                <c:pt idx="69">
                  <c:v>320964</c:v>
                </c:pt>
                <c:pt idx="70">
                  <c:v>10520</c:v>
                </c:pt>
                <c:pt idx="71">
                  <c:v>15000</c:v>
                </c:pt>
                <c:pt idx="72">
                  <c:v>8860</c:v>
                </c:pt>
                <c:pt idx="73">
                  <c:v>7021</c:v>
                </c:pt>
                <c:pt idx="74">
                  <c:v>40000</c:v>
                </c:pt>
                <c:pt idx="75">
                  <c:v>5000</c:v>
                </c:pt>
                <c:pt idx="76">
                  <c:v>3000</c:v>
                </c:pt>
                <c:pt idx="77">
                  <c:v>15000</c:v>
                </c:pt>
                <c:pt idx="78">
                  <c:v>154000</c:v>
                </c:pt>
                <c:pt idx="79">
                  <c:v>245000</c:v>
                </c:pt>
                <c:pt idx="80">
                  <c:v>3631</c:v>
                </c:pt>
                <c:pt idx="81">
                  <c:v>38900</c:v>
                </c:pt>
                <c:pt idx="82">
                  <c:v>11000</c:v>
                </c:pt>
                <c:pt idx="83">
                  <c:v>33000</c:v>
                </c:pt>
                <c:pt idx="84">
                  <c:v>3000</c:v>
                </c:pt>
                <c:pt idx="85">
                  <c:v>1800</c:v>
                </c:pt>
                <c:pt idx="86">
                  <c:v>20000</c:v>
                </c:pt>
                <c:pt idx="87">
                  <c:v>6935</c:v>
                </c:pt>
              </c:numCache>
            </c:numRef>
          </c:xVal>
          <c:yVal>
            <c:numRef>
              <c:f>'Total Pop'!$C$6:$CL$6</c:f>
              <c:numCache>
                <c:formatCode>0.00</c:formatCode>
                <c:ptCount val="88"/>
                <c:pt idx="0">
                  <c:v>1.5310287380258225</c:v>
                </c:pt>
                <c:pt idx="1">
                  <c:v>1.4438931592071773</c:v>
                </c:pt>
                <c:pt idx="2">
                  <c:v>2.1547861507128308</c:v>
                </c:pt>
                <c:pt idx="3">
                  <c:v>1.8496144921027025</c:v>
                </c:pt>
                <c:pt idx="4">
                  <c:v>1.6943768161470198</c:v>
                </c:pt>
                <c:pt idx="5">
                  <c:v>1.885057471264368</c:v>
                </c:pt>
                <c:pt idx="6">
                  <c:v>1.3107328332371611</c:v>
                </c:pt>
                <c:pt idx="7">
                  <c:v>1.6563959127512236</c:v>
                </c:pt>
                <c:pt idx="8">
                  <c:v>1.6242496345898909</c:v>
                </c:pt>
                <c:pt idx="9">
                  <c:v>1.9282004643036641</c:v>
                </c:pt>
                <c:pt idx="10">
                  <c:v>1.7617326842282217</c:v>
                </c:pt>
                <c:pt idx="11">
                  <c:v>2.1180734733996802</c:v>
                </c:pt>
                <c:pt idx="12">
                  <c:v>1.2965504187763215</c:v>
                </c:pt>
                <c:pt idx="13">
                  <c:v>1.6004495410934672</c:v>
                </c:pt>
                <c:pt idx="14">
                  <c:v>2.2221777777777776</c:v>
                </c:pt>
                <c:pt idx="15">
                  <c:v>1.7241903094588333</c:v>
                </c:pt>
                <c:pt idx="16">
                  <c:v>1.730395043036981</c:v>
                </c:pt>
                <c:pt idx="17">
                  <c:v>1.6766426648268853</c:v>
                </c:pt>
                <c:pt idx="18">
                  <c:v>1.5736091777468437</c:v>
                </c:pt>
                <c:pt idx="19">
                  <c:v>1.4596065641890934</c:v>
                </c:pt>
                <c:pt idx="20">
                  <c:v>1.6681826345573709</c:v>
                </c:pt>
                <c:pt idx="21">
                  <c:v>1.3598731618468038</c:v>
                </c:pt>
                <c:pt idx="22">
                  <c:v>1.5861329521086491</c:v>
                </c:pt>
                <c:pt idx="23">
                  <c:v>3.0151623145208322</c:v>
                </c:pt>
                <c:pt idx="24">
                  <c:v>1.3168514482807558</c:v>
                </c:pt>
                <c:pt idx="25">
                  <c:v>1.4813980316521864</c:v>
                </c:pt>
                <c:pt idx="26">
                  <c:v>1.5723766792770801</c:v>
                </c:pt>
                <c:pt idx="27">
                  <c:v>1.4692615833468403</c:v>
                </c:pt>
                <c:pt idx="28">
                  <c:v>1.3905717961615849</c:v>
                </c:pt>
                <c:pt idx="29">
                  <c:v>1.9769246767652258</c:v>
                </c:pt>
                <c:pt idx="30">
                  <c:v>1.6806835016835018</c:v>
                </c:pt>
                <c:pt idx="31">
                  <c:v>1.4896472930320663</c:v>
                </c:pt>
                <c:pt idx="32">
                  <c:v>1.5551342660363323</c:v>
                </c:pt>
                <c:pt idx="33">
                  <c:v>1.8196319364202578</c:v>
                </c:pt>
                <c:pt idx="34">
                  <c:v>1.525430797520426</c:v>
                </c:pt>
                <c:pt idx="35">
                  <c:v>1.3306122448979592</c:v>
                </c:pt>
                <c:pt idx="36">
                  <c:v>1.8125031766200763</c:v>
                </c:pt>
                <c:pt idx="37">
                  <c:v>1.7600222689595451</c:v>
                </c:pt>
                <c:pt idx="38">
                  <c:v>1.8238168571936266</c:v>
                </c:pt>
                <c:pt idx="39">
                  <c:v>2.0976817281662763</c:v>
                </c:pt>
                <c:pt idx="40">
                  <c:v>1.3982230208645303</c:v>
                </c:pt>
                <c:pt idx="41">
                  <c:v>1.3244539915246445</c:v>
                </c:pt>
                <c:pt idx="42">
                  <c:v>1.4206259674161135</c:v>
                </c:pt>
                <c:pt idx="43">
                  <c:v>1.6894528875379939</c:v>
                </c:pt>
                <c:pt idx="44">
                  <c:v>2.6681760577110549</c:v>
                </c:pt>
                <c:pt idx="45">
                  <c:v>1.5929710784476803</c:v>
                </c:pt>
                <c:pt idx="46">
                  <c:v>1.2946761836160041</c:v>
                </c:pt>
                <c:pt idx="47">
                  <c:v>1.6586027669494765</c:v>
                </c:pt>
                <c:pt idx="48">
                  <c:v>1.335110401149791</c:v>
                </c:pt>
                <c:pt idx="49">
                  <c:v>1.3331218627028378</c:v>
                </c:pt>
                <c:pt idx="50">
                  <c:v>2.2913374515155875</c:v>
                </c:pt>
                <c:pt idx="51">
                  <c:v>1.4601258958883441</c:v>
                </c:pt>
                <c:pt idx="52">
                  <c:v>1.4829463339435398</c:v>
                </c:pt>
                <c:pt idx="53">
                  <c:v>1.9071768091518502</c:v>
                </c:pt>
                <c:pt idx="54">
                  <c:v>1.6170631553941699</c:v>
                </c:pt>
                <c:pt idx="55">
                  <c:v>1.5627908050754507</c:v>
                </c:pt>
                <c:pt idx="56">
                  <c:v>1.4972577847753976</c:v>
                </c:pt>
                <c:pt idx="57">
                  <c:v>1.8367260259952922</c:v>
                </c:pt>
                <c:pt idx="58">
                  <c:v>2.0340046982708824</c:v>
                </c:pt>
                <c:pt idx="59">
                  <c:v>1.9223664122137405</c:v>
                </c:pt>
                <c:pt idx="60">
                  <c:v>1.6234773776103524</c:v>
                </c:pt>
                <c:pt idx="61">
                  <c:v>1.5004782779946086</c:v>
                </c:pt>
                <c:pt idx="62">
                  <c:v>2.3528065731839582</c:v>
                </c:pt>
                <c:pt idx="63">
                  <c:v>2.0250512228920079</c:v>
                </c:pt>
                <c:pt idx="64">
                  <c:v>1.5613842442392483</c:v>
                </c:pt>
                <c:pt idx="65">
                  <c:v>1.7329399091377451</c:v>
                </c:pt>
                <c:pt idx="66">
                  <c:v>1.4569387493018993</c:v>
                </c:pt>
                <c:pt idx="67">
                  <c:v>1.156990287089565</c:v>
                </c:pt>
                <c:pt idx="68">
                  <c:v>1.2568375795500499</c:v>
                </c:pt>
                <c:pt idx="69">
                  <c:v>1.2805312861116724</c:v>
                </c:pt>
                <c:pt idx="70">
                  <c:v>1.5326160514850611</c:v>
                </c:pt>
                <c:pt idx="71">
                  <c:v>1.4302161542289633</c:v>
                </c:pt>
                <c:pt idx="72">
                  <c:v>2.0933147543695556</c:v>
                </c:pt>
                <c:pt idx="73">
                  <c:v>2.8920475681902729</c:v>
                </c:pt>
                <c:pt idx="74">
                  <c:v>1.6440959651968827</c:v>
                </c:pt>
                <c:pt idx="75">
                  <c:v>3.1958811101972358</c:v>
                </c:pt>
                <c:pt idx="76">
                  <c:v>1.6949677099882396</c:v>
                </c:pt>
                <c:pt idx="77">
                  <c:v>1.6543977534851066</c:v>
                </c:pt>
                <c:pt idx="78">
                  <c:v>1.2737141705707522</c:v>
                </c:pt>
                <c:pt idx="79">
                  <c:v>1.9698305084745764</c:v>
                </c:pt>
                <c:pt idx="80">
                  <c:v>2.0557545999028757</c:v>
                </c:pt>
                <c:pt idx="81">
                  <c:v>1.577114857515324</c:v>
                </c:pt>
                <c:pt idx="82">
                  <c:v>2.6165934065934064</c:v>
                </c:pt>
                <c:pt idx="83">
                  <c:v>1.3571428571428572</c:v>
                </c:pt>
                <c:pt idx="84">
                  <c:v>1.6994042721258598</c:v>
                </c:pt>
                <c:pt idx="85">
                  <c:v>1.4471504465220786</c:v>
                </c:pt>
                <c:pt idx="86">
                  <c:v>1.2220969309405996</c:v>
                </c:pt>
                <c:pt idx="87">
                  <c:v>1.710778604067736</c:v>
                </c:pt>
              </c:numCache>
            </c:numRef>
          </c:yVal>
          <c:smooth val="0"/>
        </c:ser>
        <c:dLbls>
          <c:showLegendKey val="0"/>
          <c:showVal val="0"/>
          <c:showCatName val="0"/>
          <c:showSerName val="0"/>
          <c:showPercent val="0"/>
          <c:showBubbleSize val="0"/>
        </c:dLbls>
        <c:axId val="131098496"/>
        <c:axId val="131108864"/>
      </c:scatterChart>
      <c:valAx>
        <c:axId val="131098496"/>
        <c:scaling>
          <c:orientation val="minMax"/>
        </c:scaling>
        <c:delete val="0"/>
        <c:axPos val="b"/>
        <c:title>
          <c:tx>
            <c:rich>
              <a:bodyPr/>
              <a:lstStyle/>
              <a:p>
                <a:pPr>
                  <a:defRPr/>
                </a:pPr>
                <a:r>
                  <a:rPr lang="en-US"/>
                  <a:t>Plant Area (Sq Ft)</a:t>
                </a:r>
              </a:p>
            </c:rich>
          </c:tx>
          <c:layout/>
          <c:overlay val="0"/>
        </c:title>
        <c:numFmt formatCode="0.00" sourceLinked="1"/>
        <c:majorTickMark val="out"/>
        <c:minorTickMark val="none"/>
        <c:tickLblPos val="nextTo"/>
        <c:crossAx val="131108864"/>
        <c:crosses val="autoZero"/>
        <c:crossBetween val="midCat"/>
      </c:valAx>
      <c:valAx>
        <c:axId val="131108864"/>
        <c:scaling>
          <c:orientation val="minMax"/>
        </c:scaling>
        <c:delete val="0"/>
        <c:axPos val="l"/>
        <c:majorGridlines/>
        <c:title>
          <c:tx>
            <c:rich>
              <a:bodyPr rot="-5400000" vert="horz"/>
              <a:lstStyle/>
              <a:p>
                <a:pPr>
                  <a:defRPr/>
                </a:pPr>
                <a:r>
                  <a:rPr lang="en-US"/>
                  <a:t>Indirect Multiplier</a:t>
                </a:r>
              </a:p>
            </c:rich>
          </c:tx>
          <c:layout/>
          <c:overlay val="0"/>
        </c:title>
        <c:numFmt formatCode="0.00" sourceLinked="1"/>
        <c:majorTickMark val="out"/>
        <c:minorTickMark val="none"/>
        <c:tickLblPos val="nextTo"/>
        <c:crossAx val="131098496"/>
        <c:crosses val="autoZero"/>
        <c:crossBetween val="midCat"/>
      </c:valAx>
    </c:plotArea>
    <c:plotVisOnly val="1"/>
    <c:dispBlanksAs val="gap"/>
    <c:showDLblsOverMax val="0"/>
  </c:chart>
  <c:printSettings>
    <c:headerFooter/>
    <c:pageMargins b="0.75000000000000033" l="0.70000000000000029" r="0.70000000000000029" t="0.75000000000000033" header="0.30000000000000016" footer="0.30000000000000016"/>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pieChart>
        <c:varyColors val="1"/>
        <c:ser>
          <c:idx val="0"/>
          <c:order val="0"/>
          <c:tx>
            <c:strRef>
              <c:f>'N60 vs 2lb Grab'!$S$12:$T$12</c:f>
              <c:strCache>
                <c:ptCount val="1"/>
                <c:pt idx="0">
                  <c:v>MT 60 Collection Method</c:v>
                </c:pt>
              </c:strCache>
            </c:strRef>
          </c:tx>
          <c:dLbls>
            <c:dLblPos val="ctr"/>
            <c:showLegendKey val="0"/>
            <c:showVal val="1"/>
            <c:showCatName val="0"/>
            <c:showSerName val="0"/>
            <c:showPercent val="0"/>
            <c:showBubbleSize val="0"/>
            <c:showLeaderLines val="1"/>
          </c:dLbls>
          <c:cat>
            <c:strRef>
              <c:f>'N60 vs 2lb Grab'!$S$13:$T$13</c:f>
              <c:strCache>
                <c:ptCount val="2"/>
                <c:pt idx="0">
                  <c:v>N=60</c:v>
                </c:pt>
                <c:pt idx="1">
                  <c:v>2-lb Grab</c:v>
                </c:pt>
              </c:strCache>
            </c:strRef>
          </c:cat>
          <c:val>
            <c:numRef>
              <c:f>'N60 vs 2lb Grab'!$S$14:$T$14</c:f>
              <c:numCache>
                <c:formatCode>General</c:formatCode>
                <c:ptCount val="2"/>
                <c:pt idx="0">
                  <c:v>79</c:v>
                </c:pt>
                <c:pt idx="1">
                  <c:v>9</c:v>
                </c:pt>
              </c:numCache>
            </c:numRef>
          </c:val>
        </c:ser>
        <c:dLbls>
          <c:dLblPos val="ctr"/>
          <c:showLegendKey val="0"/>
          <c:showVal val="1"/>
          <c:showCatName val="0"/>
          <c:showSerName val="0"/>
          <c:showPercent val="0"/>
          <c:showBubbleSize val="0"/>
          <c:showLeaderLines val="1"/>
        </c:dLbls>
        <c:firstSliceAng val="0"/>
      </c:pieChart>
    </c:plotArea>
    <c:legend>
      <c:legendPos val="b"/>
      <c:overlay val="0"/>
      <c:txPr>
        <a:bodyPr/>
        <a:lstStyle/>
        <a:p>
          <a:pPr rtl="0">
            <a:defRPr/>
          </a:pPr>
          <a:endParaRPr lang="en-US"/>
        </a:p>
      </c:txPr>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6.xml.rels><?xml version="1.0" encoding="UTF-8" standalone="yes"?>
<Relationships xmlns="http://schemas.openxmlformats.org/package/2006/relationships"><Relationship Id="rId3" Type="http://schemas.openxmlformats.org/officeDocument/2006/relationships/chart" Target="../charts/chart13.xml"/><Relationship Id="rId2" Type="http://schemas.openxmlformats.org/officeDocument/2006/relationships/chart" Target="../charts/chart12.xml"/><Relationship Id="rId1" Type="http://schemas.openxmlformats.org/officeDocument/2006/relationships/chart" Target="../charts/chart11.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11</xdr:col>
      <xdr:colOff>26458</xdr:colOff>
      <xdr:row>5</xdr:row>
      <xdr:rowOff>153987</xdr:rowOff>
    </xdr:from>
    <xdr:to>
      <xdr:col>20</xdr:col>
      <xdr:colOff>13758</xdr:colOff>
      <xdr:row>19</xdr:row>
      <xdr:rowOff>149225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20</xdr:col>
      <xdr:colOff>112183</xdr:colOff>
      <xdr:row>5</xdr:row>
      <xdr:rowOff>112711</xdr:rowOff>
    </xdr:from>
    <xdr:to>
      <xdr:col>27</xdr:col>
      <xdr:colOff>416983</xdr:colOff>
      <xdr:row>19</xdr:row>
      <xdr:rowOff>188911</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28</xdr:col>
      <xdr:colOff>503767</xdr:colOff>
      <xdr:row>5</xdr:row>
      <xdr:rowOff>124353</xdr:rowOff>
    </xdr:from>
    <xdr:to>
      <xdr:col>37</xdr:col>
      <xdr:colOff>194734</xdr:colOff>
      <xdr:row>20</xdr:row>
      <xdr:rowOff>10053</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190501</xdr:colOff>
      <xdr:row>51</xdr:row>
      <xdr:rowOff>127000</xdr:rowOff>
    </xdr:from>
    <xdr:to>
      <xdr:col>6</xdr:col>
      <xdr:colOff>571501</xdr:colOff>
      <xdr:row>66</xdr:row>
      <xdr:rowOff>15875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8</xdr:col>
      <xdr:colOff>171450</xdr:colOff>
      <xdr:row>5</xdr:row>
      <xdr:rowOff>138112</xdr:rowOff>
    </xdr:from>
    <xdr:to>
      <xdr:col>15</xdr:col>
      <xdr:colOff>476250</xdr:colOff>
      <xdr:row>20</xdr:row>
      <xdr:rowOff>23812</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104775</xdr:colOff>
      <xdr:row>21</xdr:row>
      <xdr:rowOff>195262</xdr:rowOff>
    </xdr:from>
    <xdr:to>
      <xdr:col>15</xdr:col>
      <xdr:colOff>409575</xdr:colOff>
      <xdr:row>36</xdr:row>
      <xdr:rowOff>80962</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54294</xdr:colOff>
      <xdr:row>44</xdr:row>
      <xdr:rowOff>14939</xdr:rowOff>
    </xdr:from>
    <xdr:to>
      <xdr:col>16</xdr:col>
      <xdr:colOff>457707</xdr:colOff>
      <xdr:row>76</xdr:row>
      <xdr:rowOff>171822</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17</xdr:col>
      <xdr:colOff>301625</xdr:colOff>
      <xdr:row>43</xdr:row>
      <xdr:rowOff>174625</xdr:rowOff>
    </xdr:from>
    <xdr:to>
      <xdr:col>31</xdr:col>
      <xdr:colOff>317234</xdr:colOff>
      <xdr:row>76</xdr:row>
      <xdr:rowOff>141008</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1766207</xdr:colOff>
      <xdr:row>14</xdr:row>
      <xdr:rowOff>19050</xdr:rowOff>
    </xdr:from>
    <xdr:to>
      <xdr:col>13</xdr:col>
      <xdr:colOff>73478</xdr:colOff>
      <xdr:row>38</xdr:row>
      <xdr:rowOff>180975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14</xdr:row>
      <xdr:rowOff>0</xdr:rowOff>
    </xdr:from>
    <xdr:to>
      <xdr:col>27</xdr:col>
      <xdr:colOff>239485</xdr:colOff>
      <xdr:row>38</xdr:row>
      <xdr:rowOff>161925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9</xdr:col>
      <xdr:colOff>98424</xdr:colOff>
      <xdr:row>26</xdr:row>
      <xdr:rowOff>15875</xdr:rowOff>
    </xdr:from>
    <xdr:to>
      <xdr:col>26</xdr:col>
      <xdr:colOff>333375</xdr:colOff>
      <xdr:row>56</xdr:row>
      <xdr:rowOff>60325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333375</xdr:colOff>
      <xdr:row>7</xdr:row>
      <xdr:rowOff>65086</xdr:rowOff>
    </xdr:from>
    <xdr:to>
      <xdr:col>7</xdr:col>
      <xdr:colOff>587375</xdr:colOff>
      <xdr:row>23</xdr:row>
      <xdr:rowOff>190499</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460374</xdr:colOff>
      <xdr:row>7</xdr:row>
      <xdr:rowOff>160336</xdr:rowOff>
    </xdr:from>
    <xdr:to>
      <xdr:col>23</xdr:col>
      <xdr:colOff>714374</xdr:colOff>
      <xdr:row>23</xdr:row>
      <xdr:rowOff>63499</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16</xdr:col>
      <xdr:colOff>440530</xdr:colOff>
      <xdr:row>16</xdr:row>
      <xdr:rowOff>194071</xdr:rowOff>
    </xdr:from>
    <xdr:to>
      <xdr:col>23</xdr:col>
      <xdr:colOff>488155</xdr:colOff>
      <xdr:row>30</xdr:row>
      <xdr:rowOff>163114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20Analysis%20(24Nov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First"/>
      <sheetName val="Establishments"/>
      <sheetName val="Raw Data"/>
      <sheetName val="Data For Analysis"/>
      <sheetName val="Constants"/>
      <sheetName val="Task Durations"/>
      <sheetName val="Descriptive Stats"/>
      <sheetName val="Indirect Time"/>
      <sheetName val="Indirect vs Direct"/>
      <sheetName val="Total Pop"/>
      <sheetName val="ANOVA - plant size"/>
      <sheetName val="N60 vs 2lb Grab"/>
      <sheetName val="Confidence Intervals"/>
      <sheetName val="Time Collectors"/>
      <sheetName val="Connection"/>
      <sheetName val="Districts"/>
      <sheetName val="t-Distribution"/>
      <sheetName val="Normal Table"/>
    </sheetNames>
    <sheetDataSet>
      <sheetData sheetId="0"/>
      <sheetData sheetId="1"/>
      <sheetData sheetId="2"/>
      <sheetData sheetId="3">
        <row r="38">
          <cell r="B38" t="str">
            <v>Districts</v>
          </cell>
        </row>
      </sheetData>
      <sheetData sheetId="4"/>
      <sheetData sheetId="5"/>
      <sheetData sheetId="6"/>
      <sheetData sheetId="7"/>
      <sheetData sheetId="8"/>
      <sheetData sheetId="9">
        <row r="6">
          <cell r="B6" t="str">
            <v>Indirect Multiplier</v>
          </cell>
        </row>
      </sheetData>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8"/>
  <sheetViews>
    <sheetView workbookViewId="0">
      <selection activeCell="S12" sqref="S12"/>
    </sheetView>
  </sheetViews>
  <sheetFormatPr defaultRowHeight="15" x14ac:dyDescent="0.25"/>
  <cols>
    <col min="1" max="1" width="3.7109375" customWidth="1"/>
    <col min="2" max="2" width="19.5703125" bestFit="1" customWidth="1"/>
    <col min="3" max="3" width="10" bestFit="1" customWidth="1"/>
    <col min="16" max="16" width="4.42578125" customWidth="1"/>
  </cols>
  <sheetData>
    <row r="1" spans="1:16" x14ac:dyDescent="0.25">
      <c r="A1" s="32"/>
      <c r="B1" s="32"/>
      <c r="C1" s="32"/>
      <c r="D1" s="32"/>
      <c r="E1" s="32"/>
      <c r="F1" s="32"/>
      <c r="G1" s="32"/>
      <c r="H1" s="32"/>
      <c r="I1" s="32"/>
      <c r="J1" s="32"/>
      <c r="K1" s="32"/>
      <c r="L1" s="32"/>
      <c r="M1" s="32"/>
      <c r="N1" s="32"/>
      <c r="O1" s="32"/>
      <c r="P1" s="32"/>
    </row>
    <row r="2" spans="1:16" ht="15.75" thickBot="1" x14ac:dyDescent="0.3">
      <c r="A2" s="32"/>
      <c r="B2" s="316"/>
      <c r="C2" s="316"/>
      <c r="D2" s="316"/>
      <c r="E2" s="316"/>
      <c r="F2" s="316"/>
      <c r="G2" s="316"/>
      <c r="H2" s="316"/>
      <c r="I2" s="316"/>
      <c r="J2" s="316"/>
      <c r="K2" s="316"/>
      <c r="L2" s="316"/>
      <c r="M2" s="316"/>
      <c r="N2" s="316"/>
      <c r="O2" s="316"/>
      <c r="P2" s="32"/>
    </row>
    <row r="3" spans="1:16" ht="24" thickBot="1" x14ac:dyDescent="0.4">
      <c r="A3" s="32"/>
      <c r="B3" s="317" t="s">
        <v>82</v>
      </c>
      <c r="C3" s="318"/>
      <c r="D3" s="318"/>
      <c r="E3" s="318"/>
      <c r="F3" s="318"/>
      <c r="G3" s="318"/>
      <c r="H3" s="318"/>
      <c r="I3" s="318"/>
      <c r="J3" s="318"/>
      <c r="K3" s="318"/>
      <c r="L3" s="318"/>
      <c r="M3" s="318"/>
      <c r="N3" s="318"/>
      <c r="O3" s="319"/>
      <c r="P3" s="32"/>
    </row>
    <row r="4" spans="1:16" s="171" customFormat="1" ht="19.5" thickBot="1" x14ac:dyDescent="0.35">
      <c r="A4" s="169"/>
      <c r="B4" s="170" t="s">
        <v>330</v>
      </c>
      <c r="C4" s="322" t="s">
        <v>331</v>
      </c>
      <c r="D4" s="322"/>
      <c r="E4" s="322"/>
      <c r="F4" s="322"/>
      <c r="G4" s="322"/>
      <c r="H4" s="322"/>
      <c r="I4" s="322"/>
      <c r="J4" s="322"/>
      <c r="K4" s="322"/>
      <c r="L4" s="322"/>
      <c r="M4" s="322"/>
      <c r="N4" s="322"/>
      <c r="O4" s="323"/>
      <c r="P4" s="169"/>
    </row>
    <row r="5" spans="1:16" x14ac:dyDescent="0.25">
      <c r="A5" s="32"/>
      <c r="B5" s="113" t="s">
        <v>115</v>
      </c>
      <c r="C5" s="320" t="s">
        <v>124</v>
      </c>
      <c r="D5" s="320"/>
      <c r="E5" s="320"/>
      <c r="F5" s="320"/>
      <c r="G5" s="320"/>
      <c r="H5" s="320"/>
      <c r="I5" s="320"/>
      <c r="J5" s="320"/>
      <c r="K5" s="320"/>
      <c r="L5" s="320"/>
      <c r="M5" s="320"/>
      <c r="N5" s="320"/>
      <c r="O5" s="321"/>
      <c r="P5" s="32"/>
    </row>
    <row r="6" spans="1:16" x14ac:dyDescent="0.25">
      <c r="A6" s="32"/>
      <c r="B6" s="52" t="s">
        <v>116</v>
      </c>
      <c r="C6" s="313" t="s">
        <v>125</v>
      </c>
      <c r="D6" s="313"/>
      <c r="E6" s="313"/>
      <c r="F6" s="313"/>
      <c r="G6" s="313"/>
      <c r="H6" s="313"/>
      <c r="I6" s="313"/>
      <c r="J6" s="313"/>
      <c r="K6" s="313"/>
      <c r="L6" s="313"/>
      <c r="M6" s="313"/>
      <c r="N6" s="313"/>
      <c r="O6" s="314"/>
      <c r="P6" s="32"/>
    </row>
    <row r="7" spans="1:16" x14ac:dyDescent="0.25">
      <c r="A7" s="32"/>
      <c r="B7" s="52" t="s">
        <v>118</v>
      </c>
      <c r="C7" s="313" t="s">
        <v>220</v>
      </c>
      <c r="D7" s="313"/>
      <c r="E7" s="313"/>
      <c r="F7" s="313"/>
      <c r="G7" s="313"/>
      <c r="H7" s="313"/>
      <c r="I7" s="313"/>
      <c r="J7" s="313"/>
      <c r="K7" s="313"/>
      <c r="L7" s="313"/>
      <c r="M7" s="313"/>
      <c r="N7" s="313"/>
      <c r="O7" s="314"/>
      <c r="P7" s="32"/>
    </row>
    <row r="8" spans="1:16" x14ac:dyDescent="0.25">
      <c r="A8" s="32"/>
      <c r="B8" s="52" t="s">
        <v>117</v>
      </c>
      <c r="C8" s="313" t="s">
        <v>126</v>
      </c>
      <c r="D8" s="313"/>
      <c r="E8" s="313"/>
      <c r="F8" s="313"/>
      <c r="G8" s="313"/>
      <c r="H8" s="313"/>
      <c r="I8" s="313"/>
      <c r="J8" s="313"/>
      <c r="K8" s="313"/>
      <c r="L8" s="313"/>
      <c r="M8" s="313"/>
      <c r="N8" s="313"/>
      <c r="O8" s="314"/>
      <c r="P8" s="32"/>
    </row>
    <row r="9" spans="1:16" x14ac:dyDescent="0.25">
      <c r="A9" s="32"/>
      <c r="B9" s="52" t="s">
        <v>119</v>
      </c>
      <c r="C9" s="313" t="s">
        <v>127</v>
      </c>
      <c r="D9" s="313"/>
      <c r="E9" s="313"/>
      <c r="F9" s="313"/>
      <c r="G9" s="313"/>
      <c r="H9" s="313"/>
      <c r="I9" s="313"/>
      <c r="J9" s="313"/>
      <c r="K9" s="313"/>
      <c r="L9" s="313"/>
      <c r="M9" s="313"/>
      <c r="N9" s="313"/>
      <c r="O9" s="314"/>
      <c r="P9" s="32"/>
    </row>
    <row r="10" spans="1:16" x14ac:dyDescent="0.25">
      <c r="A10" s="32"/>
      <c r="B10" s="52" t="s">
        <v>122</v>
      </c>
      <c r="C10" s="313" t="s">
        <v>368</v>
      </c>
      <c r="D10" s="313"/>
      <c r="E10" s="313"/>
      <c r="F10" s="313"/>
      <c r="G10" s="313"/>
      <c r="H10" s="313"/>
      <c r="I10" s="313"/>
      <c r="J10" s="313"/>
      <c r="K10" s="313"/>
      <c r="L10" s="313"/>
      <c r="M10" s="313"/>
      <c r="N10" s="313"/>
      <c r="O10" s="314"/>
      <c r="P10" s="32"/>
    </row>
    <row r="11" spans="1:16" x14ac:dyDescent="0.25">
      <c r="A11" s="32"/>
      <c r="B11" s="52" t="s">
        <v>120</v>
      </c>
      <c r="C11" s="313" t="s">
        <v>128</v>
      </c>
      <c r="D11" s="313"/>
      <c r="E11" s="313"/>
      <c r="F11" s="313"/>
      <c r="G11" s="313"/>
      <c r="H11" s="313"/>
      <c r="I11" s="313"/>
      <c r="J11" s="313"/>
      <c r="K11" s="313"/>
      <c r="L11" s="313"/>
      <c r="M11" s="313"/>
      <c r="N11" s="313"/>
      <c r="O11" s="314"/>
      <c r="P11" s="32"/>
    </row>
    <row r="12" spans="1:16" x14ac:dyDescent="0.25">
      <c r="A12" s="32"/>
      <c r="B12" s="52" t="s">
        <v>121</v>
      </c>
      <c r="C12" s="313" t="s">
        <v>132</v>
      </c>
      <c r="D12" s="313"/>
      <c r="E12" s="313"/>
      <c r="F12" s="313"/>
      <c r="G12" s="313"/>
      <c r="H12" s="313"/>
      <c r="I12" s="313"/>
      <c r="J12" s="313"/>
      <c r="K12" s="313"/>
      <c r="L12" s="313"/>
      <c r="M12" s="313"/>
      <c r="N12" s="313"/>
      <c r="O12" s="314"/>
      <c r="P12" s="32"/>
    </row>
    <row r="13" spans="1:16" x14ac:dyDescent="0.25">
      <c r="A13" s="32"/>
      <c r="B13" s="52" t="s">
        <v>254</v>
      </c>
      <c r="C13" s="313" t="s">
        <v>281</v>
      </c>
      <c r="D13" s="313"/>
      <c r="E13" s="313"/>
      <c r="F13" s="313"/>
      <c r="G13" s="313"/>
      <c r="H13" s="313"/>
      <c r="I13" s="313"/>
      <c r="J13" s="313"/>
      <c r="K13" s="313"/>
      <c r="L13" s="313"/>
      <c r="M13" s="313"/>
      <c r="N13" s="313"/>
      <c r="O13" s="314"/>
      <c r="P13" s="32"/>
    </row>
    <row r="14" spans="1:16" x14ac:dyDescent="0.25">
      <c r="A14" s="32"/>
      <c r="B14" s="52" t="s">
        <v>277</v>
      </c>
      <c r="C14" s="308" t="s">
        <v>278</v>
      </c>
      <c r="D14" s="309"/>
      <c r="E14" s="309"/>
      <c r="F14" s="309"/>
      <c r="G14" s="309"/>
      <c r="H14" s="309"/>
      <c r="I14" s="309"/>
      <c r="J14" s="309"/>
      <c r="K14" s="309"/>
      <c r="L14" s="309"/>
      <c r="M14" s="309"/>
      <c r="N14" s="309"/>
      <c r="O14" s="310"/>
      <c r="P14" s="32"/>
    </row>
    <row r="15" spans="1:16" x14ac:dyDescent="0.25">
      <c r="A15" s="32"/>
      <c r="B15" s="52" t="s">
        <v>279</v>
      </c>
      <c r="C15" s="313" t="s">
        <v>280</v>
      </c>
      <c r="D15" s="313"/>
      <c r="E15" s="313"/>
      <c r="F15" s="313"/>
      <c r="G15" s="313"/>
      <c r="H15" s="313"/>
      <c r="I15" s="313"/>
      <c r="J15" s="313"/>
      <c r="K15" s="313"/>
      <c r="L15" s="313"/>
      <c r="M15" s="313"/>
      <c r="N15" s="313"/>
      <c r="O15" s="314"/>
      <c r="P15" s="32"/>
    </row>
    <row r="16" spans="1:16" x14ac:dyDescent="0.25">
      <c r="A16" s="32"/>
      <c r="B16" s="52" t="s">
        <v>282</v>
      </c>
      <c r="C16" s="313" t="s">
        <v>283</v>
      </c>
      <c r="D16" s="313"/>
      <c r="E16" s="313"/>
      <c r="F16" s="313"/>
      <c r="G16" s="313"/>
      <c r="H16" s="313"/>
      <c r="I16" s="313"/>
      <c r="J16" s="313"/>
      <c r="K16" s="313"/>
      <c r="L16" s="313"/>
      <c r="M16" s="313"/>
      <c r="N16" s="313"/>
      <c r="O16" s="314"/>
      <c r="P16" s="32"/>
    </row>
    <row r="17" spans="1:16" x14ac:dyDescent="0.25">
      <c r="A17" s="32"/>
      <c r="B17" s="163" t="s">
        <v>285</v>
      </c>
      <c r="C17" s="308" t="s">
        <v>286</v>
      </c>
      <c r="D17" s="309"/>
      <c r="E17" s="309"/>
      <c r="F17" s="309"/>
      <c r="G17" s="309"/>
      <c r="H17" s="309"/>
      <c r="I17" s="309"/>
      <c r="J17" s="309"/>
      <c r="K17" s="309"/>
      <c r="L17" s="309"/>
      <c r="M17" s="309"/>
      <c r="N17" s="309"/>
      <c r="O17" s="310"/>
      <c r="P17" s="32"/>
    </row>
    <row r="18" spans="1:16" x14ac:dyDescent="0.25">
      <c r="A18" s="32"/>
      <c r="B18" s="52" t="s">
        <v>143</v>
      </c>
      <c r="C18" s="313" t="s">
        <v>284</v>
      </c>
      <c r="D18" s="313"/>
      <c r="E18" s="313"/>
      <c r="F18" s="313"/>
      <c r="G18" s="313"/>
      <c r="H18" s="313"/>
      <c r="I18" s="313"/>
      <c r="J18" s="313"/>
      <c r="K18" s="313"/>
      <c r="L18" s="313"/>
      <c r="M18" s="313"/>
      <c r="N18" s="313"/>
      <c r="O18" s="314"/>
      <c r="P18" s="32"/>
    </row>
    <row r="19" spans="1:16" ht="15.75" thickBot="1" x14ac:dyDescent="0.3">
      <c r="A19" s="32"/>
      <c r="B19" s="53" t="s">
        <v>123</v>
      </c>
      <c r="C19" s="311" t="s">
        <v>129</v>
      </c>
      <c r="D19" s="311"/>
      <c r="E19" s="311"/>
      <c r="F19" s="311"/>
      <c r="G19" s="311"/>
      <c r="H19" s="311"/>
      <c r="I19" s="311"/>
      <c r="J19" s="311"/>
      <c r="K19" s="311"/>
      <c r="L19" s="311"/>
      <c r="M19" s="311"/>
      <c r="N19" s="311"/>
      <c r="O19" s="312"/>
      <c r="P19" s="32"/>
    </row>
    <row r="20" spans="1:16" ht="15.75" thickBot="1" x14ac:dyDescent="0.3">
      <c r="A20" s="32"/>
      <c r="B20" s="53" t="s">
        <v>287</v>
      </c>
      <c r="C20" s="311" t="s">
        <v>288</v>
      </c>
      <c r="D20" s="311"/>
      <c r="E20" s="311"/>
      <c r="F20" s="311"/>
      <c r="G20" s="311"/>
      <c r="H20" s="311"/>
      <c r="I20" s="311"/>
      <c r="J20" s="311"/>
      <c r="K20" s="311"/>
      <c r="L20" s="311"/>
      <c r="M20" s="311"/>
      <c r="N20" s="311"/>
      <c r="O20" s="312"/>
      <c r="P20" s="32"/>
    </row>
    <row r="21" spans="1:16" ht="15.75" thickBot="1" x14ac:dyDescent="0.3">
      <c r="A21" s="32"/>
      <c r="B21" s="315"/>
      <c r="C21" s="315"/>
      <c r="D21" s="315"/>
      <c r="E21" s="315"/>
      <c r="F21" s="315"/>
      <c r="G21" s="315"/>
      <c r="H21" s="315"/>
      <c r="I21" s="315"/>
      <c r="J21" s="315"/>
      <c r="K21" s="315"/>
      <c r="L21" s="315"/>
      <c r="M21" s="315"/>
      <c r="N21" s="315"/>
      <c r="O21" s="315"/>
      <c r="P21" s="32"/>
    </row>
    <row r="22" spans="1:16" ht="15" customHeight="1" x14ac:dyDescent="0.25">
      <c r="A22" s="32"/>
      <c r="B22" s="421" t="s">
        <v>390</v>
      </c>
      <c r="C22" s="422"/>
      <c r="D22" s="422"/>
      <c r="E22" s="422"/>
      <c r="F22" s="422"/>
      <c r="G22" s="422"/>
      <c r="H22" s="422"/>
      <c r="I22" s="422"/>
      <c r="J22" s="422"/>
      <c r="K22" s="422"/>
      <c r="L22" s="422"/>
      <c r="M22" s="422"/>
      <c r="N22" s="422"/>
      <c r="O22" s="423"/>
      <c r="P22" s="32"/>
    </row>
    <row r="23" spans="1:16" x14ac:dyDescent="0.25">
      <c r="A23" s="32"/>
      <c r="B23" s="424"/>
      <c r="C23" s="425"/>
      <c r="D23" s="425"/>
      <c r="E23" s="425"/>
      <c r="F23" s="425"/>
      <c r="G23" s="425"/>
      <c r="H23" s="425"/>
      <c r="I23" s="425"/>
      <c r="J23" s="425"/>
      <c r="K23" s="425"/>
      <c r="L23" s="425"/>
      <c r="M23" s="425"/>
      <c r="N23" s="425"/>
      <c r="O23" s="426"/>
      <c r="P23" s="32"/>
    </row>
    <row r="24" spans="1:16" x14ac:dyDescent="0.25">
      <c r="A24" s="32"/>
      <c r="B24" s="424"/>
      <c r="C24" s="425"/>
      <c r="D24" s="425"/>
      <c r="E24" s="425"/>
      <c r="F24" s="425"/>
      <c r="G24" s="425"/>
      <c r="H24" s="425"/>
      <c r="I24" s="425"/>
      <c r="J24" s="425"/>
      <c r="K24" s="425"/>
      <c r="L24" s="425"/>
      <c r="M24" s="425"/>
      <c r="N24" s="425"/>
      <c r="O24" s="426"/>
      <c r="P24" s="32"/>
    </row>
    <row r="25" spans="1:16" x14ac:dyDescent="0.25">
      <c r="A25" s="32"/>
      <c r="B25" s="424"/>
      <c r="C25" s="425"/>
      <c r="D25" s="425"/>
      <c r="E25" s="425"/>
      <c r="F25" s="425"/>
      <c r="G25" s="425"/>
      <c r="H25" s="425"/>
      <c r="I25" s="425"/>
      <c r="J25" s="425"/>
      <c r="K25" s="425"/>
      <c r="L25" s="425"/>
      <c r="M25" s="425"/>
      <c r="N25" s="425"/>
      <c r="O25" s="426"/>
      <c r="P25" s="32"/>
    </row>
    <row r="26" spans="1:16" x14ac:dyDescent="0.25">
      <c r="A26" s="32"/>
      <c r="B26" s="424"/>
      <c r="C26" s="425"/>
      <c r="D26" s="425"/>
      <c r="E26" s="425"/>
      <c r="F26" s="425"/>
      <c r="G26" s="425"/>
      <c r="H26" s="425"/>
      <c r="I26" s="425"/>
      <c r="J26" s="425"/>
      <c r="K26" s="425"/>
      <c r="L26" s="425"/>
      <c r="M26" s="425"/>
      <c r="N26" s="425"/>
      <c r="O26" s="426"/>
      <c r="P26" s="32"/>
    </row>
    <row r="27" spans="1:16" x14ac:dyDescent="0.25">
      <c r="A27" s="32"/>
      <c r="B27" s="424"/>
      <c r="C27" s="425"/>
      <c r="D27" s="425"/>
      <c r="E27" s="425"/>
      <c r="F27" s="425"/>
      <c r="G27" s="425"/>
      <c r="H27" s="425"/>
      <c r="I27" s="425"/>
      <c r="J27" s="425"/>
      <c r="K27" s="425"/>
      <c r="L27" s="425"/>
      <c r="M27" s="425"/>
      <c r="N27" s="425"/>
      <c r="O27" s="426"/>
      <c r="P27" s="32"/>
    </row>
    <row r="28" spans="1:16" x14ac:dyDescent="0.25">
      <c r="A28" s="32"/>
      <c r="B28" s="424"/>
      <c r="C28" s="425"/>
      <c r="D28" s="425"/>
      <c r="E28" s="425"/>
      <c r="F28" s="425"/>
      <c r="G28" s="425"/>
      <c r="H28" s="425"/>
      <c r="I28" s="425"/>
      <c r="J28" s="425"/>
      <c r="K28" s="425"/>
      <c r="L28" s="425"/>
      <c r="M28" s="425"/>
      <c r="N28" s="425"/>
      <c r="O28" s="426"/>
      <c r="P28" s="32"/>
    </row>
    <row r="29" spans="1:16" x14ac:dyDescent="0.25">
      <c r="A29" s="32"/>
      <c r="B29" s="424"/>
      <c r="C29" s="425"/>
      <c r="D29" s="425"/>
      <c r="E29" s="425"/>
      <c r="F29" s="425"/>
      <c r="G29" s="425"/>
      <c r="H29" s="425"/>
      <c r="I29" s="425"/>
      <c r="J29" s="425"/>
      <c r="K29" s="425"/>
      <c r="L29" s="425"/>
      <c r="M29" s="425"/>
      <c r="N29" s="425"/>
      <c r="O29" s="426"/>
      <c r="P29" s="32"/>
    </row>
    <row r="30" spans="1:16" ht="15.75" thickBot="1" x14ac:dyDescent="0.3">
      <c r="A30" s="32"/>
      <c r="B30" s="427"/>
      <c r="C30" s="428"/>
      <c r="D30" s="428"/>
      <c r="E30" s="428"/>
      <c r="F30" s="428"/>
      <c r="G30" s="428"/>
      <c r="H30" s="428"/>
      <c r="I30" s="428"/>
      <c r="J30" s="428"/>
      <c r="K30" s="428"/>
      <c r="L30" s="428"/>
      <c r="M30" s="428"/>
      <c r="N30" s="428"/>
      <c r="O30" s="429"/>
      <c r="P30" s="32"/>
    </row>
    <row r="31" spans="1:16" x14ac:dyDescent="0.25">
      <c r="A31" s="32"/>
      <c r="B31" s="431"/>
      <c r="C31" s="431"/>
      <c r="D31" s="431"/>
      <c r="E31" s="431"/>
      <c r="F31" s="431"/>
      <c r="G31" s="431"/>
      <c r="H31" s="431"/>
      <c r="I31" s="431"/>
      <c r="J31" s="431"/>
      <c r="K31" s="431"/>
      <c r="L31" s="431"/>
      <c r="M31" s="431"/>
      <c r="N31" s="431"/>
      <c r="O31" s="431"/>
      <c r="P31" s="32"/>
    </row>
    <row r="32" spans="1:16" ht="15" customHeight="1" x14ac:dyDescent="0.25">
      <c r="A32" s="32"/>
      <c r="B32" s="430" t="s">
        <v>391</v>
      </c>
      <c r="C32" s="430"/>
      <c r="D32" s="430"/>
      <c r="E32" s="430"/>
      <c r="F32" s="430"/>
      <c r="G32" s="430"/>
      <c r="H32" s="430"/>
      <c r="I32" s="430"/>
      <c r="J32" s="430"/>
      <c r="K32" s="430"/>
      <c r="L32" s="430"/>
      <c r="M32" s="430"/>
      <c r="N32" s="430"/>
      <c r="O32" s="430"/>
      <c r="P32" s="32"/>
    </row>
    <row r="33" spans="1:16" x14ac:dyDescent="0.25">
      <c r="A33" s="32"/>
      <c r="B33" s="430"/>
      <c r="C33" s="430"/>
      <c r="D33" s="430"/>
      <c r="E33" s="430"/>
      <c r="F33" s="430"/>
      <c r="G33" s="430"/>
      <c r="H33" s="430"/>
      <c r="I33" s="430"/>
      <c r="J33" s="430"/>
      <c r="K33" s="430"/>
      <c r="L33" s="430"/>
      <c r="M33" s="430"/>
      <c r="N33" s="430"/>
      <c r="O33" s="430"/>
      <c r="P33" s="32"/>
    </row>
    <row r="34" spans="1:16" x14ac:dyDescent="0.25">
      <c r="A34" s="32"/>
      <c r="B34" s="430"/>
      <c r="C34" s="430"/>
      <c r="D34" s="430"/>
      <c r="E34" s="430"/>
      <c r="F34" s="430"/>
      <c r="G34" s="430"/>
      <c r="H34" s="430"/>
      <c r="I34" s="430"/>
      <c r="J34" s="430"/>
      <c r="K34" s="430"/>
      <c r="L34" s="430"/>
      <c r="M34" s="430"/>
      <c r="N34" s="430"/>
      <c r="O34" s="430"/>
      <c r="P34" s="32"/>
    </row>
    <row r="35" spans="1:16" x14ac:dyDescent="0.25">
      <c r="A35" s="32"/>
      <c r="B35" s="430"/>
      <c r="C35" s="430"/>
      <c r="D35" s="430"/>
      <c r="E35" s="430"/>
      <c r="F35" s="430"/>
      <c r="G35" s="430"/>
      <c r="H35" s="430"/>
      <c r="I35" s="430"/>
      <c r="J35" s="430"/>
      <c r="K35" s="430"/>
      <c r="L35" s="430"/>
      <c r="M35" s="430"/>
      <c r="N35" s="430"/>
      <c r="O35" s="430"/>
      <c r="P35" s="32"/>
    </row>
    <row r="36" spans="1:16" x14ac:dyDescent="0.25">
      <c r="A36" s="32"/>
      <c r="B36" s="432"/>
      <c r="C36" s="432"/>
      <c r="D36" s="432"/>
      <c r="E36" s="432"/>
      <c r="F36" s="432"/>
      <c r="G36" s="432"/>
      <c r="H36" s="432"/>
      <c r="I36" s="432"/>
      <c r="J36" s="432"/>
      <c r="K36" s="432"/>
      <c r="L36" s="432"/>
      <c r="M36" s="432"/>
      <c r="N36" s="432"/>
      <c r="O36" s="432"/>
      <c r="P36" s="32"/>
    </row>
    <row r="37" spans="1:16" x14ac:dyDescent="0.25">
      <c r="A37" s="32"/>
      <c r="B37" s="31" t="s">
        <v>130</v>
      </c>
      <c r="C37" s="433">
        <v>41618</v>
      </c>
      <c r="D37" s="383"/>
      <c r="E37" s="383"/>
      <c r="F37" s="383"/>
      <c r="G37" s="383"/>
      <c r="H37" s="383"/>
      <c r="I37" s="383"/>
      <c r="J37" s="383"/>
      <c r="K37" s="383"/>
      <c r="L37" s="383"/>
      <c r="M37" s="383"/>
      <c r="N37" s="383"/>
      <c r="O37" s="383"/>
      <c r="P37" s="32"/>
    </row>
    <row r="38" spans="1:16" x14ac:dyDescent="0.25">
      <c r="A38" s="32"/>
      <c r="B38" s="32"/>
      <c r="C38" s="32"/>
      <c r="D38" s="32"/>
      <c r="E38" s="32"/>
      <c r="F38" s="32"/>
      <c r="G38" s="32"/>
      <c r="H38" s="32"/>
      <c r="I38" s="32"/>
      <c r="J38" s="32"/>
      <c r="K38" s="32"/>
      <c r="L38" s="32"/>
      <c r="M38" s="32"/>
      <c r="N38" s="32"/>
      <c r="O38" s="32"/>
      <c r="P38" s="32"/>
    </row>
  </sheetData>
  <mergeCells count="25">
    <mergeCell ref="B32:O35"/>
    <mergeCell ref="B31:O31"/>
    <mergeCell ref="B36:O36"/>
    <mergeCell ref="D37:O37"/>
    <mergeCell ref="C18:O18"/>
    <mergeCell ref="C20:O20"/>
    <mergeCell ref="B21:O21"/>
    <mergeCell ref="B2:O2"/>
    <mergeCell ref="C11:O11"/>
    <mergeCell ref="C12:O12"/>
    <mergeCell ref="C10:O10"/>
    <mergeCell ref="C15:O15"/>
    <mergeCell ref="C13:O13"/>
    <mergeCell ref="C16:O16"/>
    <mergeCell ref="B3:O3"/>
    <mergeCell ref="C5:O5"/>
    <mergeCell ref="C6:O6"/>
    <mergeCell ref="C14:O14"/>
    <mergeCell ref="C4:O4"/>
    <mergeCell ref="B22:O30"/>
    <mergeCell ref="C17:O17"/>
    <mergeCell ref="C19:O19"/>
    <mergeCell ref="C8:O8"/>
    <mergeCell ref="C7:O7"/>
    <mergeCell ref="C9:O9"/>
  </mergeCells>
  <pageMargins left="0.7" right="0.7" top="0.75" bottom="0.75" header="0.3" footer="0.3"/>
  <pageSetup orientation="portrait" horizontalDpi="4294967293"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L177"/>
  <sheetViews>
    <sheetView tabSelected="1" zoomScale="90" zoomScaleNormal="90" workbookViewId="0">
      <pane ySplit="1" topLeftCell="A2" activePane="bottomLeft" state="frozen"/>
      <selection pane="bottomLeft" activeCell="H10" sqref="H10"/>
    </sheetView>
  </sheetViews>
  <sheetFormatPr defaultRowHeight="15" x14ac:dyDescent="0.25"/>
  <cols>
    <col min="1" max="1" width="9.140625" style="17"/>
    <col min="2" max="2" width="4.28515625" style="17" hidden="1" customWidth="1"/>
    <col min="3" max="3" width="3" style="21" hidden="1" customWidth="1"/>
    <col min="4" max="4" width="7.28515625" style="17" bestFit="1" customWidth="1"/>
    <col min="5" max="5" width="6.7109375" style="17" hidden="1" customWidth="1"/>
    <col min="6" max="6" width="15.7109375" style="17" customWidth="1"/>
    <col min="7" max="7" width="7.85546875" style="25" hidden="1" customWidth="1"/>
    <col min="8" max="8" width="15.7109375" style="108" customWidth="1"/>
    <col min="9" max="10" width="10" style="21" customWidth="1"/>
    <col min="11" max="11" width="17.140625" style="21" customWidth="1"/>
    <col min="12" max="13" width="9.140625" style="21"/>
    <col min="14" max="14" width="11" style="21" customWidth="1"/>
    <col min="15" max="15" width="9.7109375" style="21" customWidth="1"/>
    <col min="16" max="42" width="9.140625" style="21"/>
    <col min="43" max="43" width="12.5703125" style="21" bestFit="1" customWidth="1"/>
    <col min="44" max="16384" width="9.140625" style="21"/>
  </cols>
  <sheetData>
    <row r="1" spans="1:38" s="420" customFormat="1" ht="60.75" thickBot="1" x14ac:dyDescent="0.3">
      <c r="A1" s="417" t="s">
        <v>99</v>
      </c>
      <c r="B1" s="418"/>
      <c r="C1" s="419"/>
      <c r="D1" s="418" t="s">
        <v>16</v>
      </c>
      <c r="E1" s="418"/>
      <c r="F1" s="418" t="s">
        <v>17</v>
      </c>
      <c r="G1" s="419"/>
      <c r="H1" s="418" t="s">
        <v>312</v>
      </c>
      <c r="I1" s="420" t="s">
        <v>369</v>
      </c>
      <c r="J1" s="420" t="s">
        <v>370</v>
      </c>
      <c r="K1" s="420" t="s">
        <v>387</v>
      </c>
      <c r="M1" s="68" t="s">
        <v>140</v>
      </c>
      <c r="N1" s="69" t="s">
        <v>388</v>
      </c>
      <c r="O1" s="70" t="s">
        <v>141</v>
      </c>
      <c r="T1" s="324" t="s">
        <v>142</v>
      </c>
      <c r="U1" s="325"/>
      <c r="V1" s="325"/>
      <c r="W1" s="326"/>
      <c r="AB1" s="324" t="s">
        <v>144</v>
      </c>
      <c r="AC1" s="325"/>
      <c r="AD1" s="325"/>
      <c r="AE1" s="325"/>
      <c r="AF1" s="325"/>
      <c r="AG1" s="325"/>
      <c r="AH1" s="325"/>
      <c r="AI1" s="325"/>
      <c r="AJ1" s="325"/>
      <c r="AK1" s="326"/>
    </row>
    <row r="2" spans="1:38" ht="15.75" thickBot="1" x14ac:dyDescent="0.3">
      <c r="A2" s="60" t="s">
        <v>67</v>
      </c>
      <c r="B2" s="18"/>
      <c r="C2" s="19"/>
      <c r="D2" s="18">
        <v>25</v>
      </c>
      <c r="E2" s="18"/>
      <c r="F2" s="18">
        <v>44000</v>
      </c>
      <c r="G2" s="20"/>
      <c r="H2" s="18">
        <f>LOOKUP(A2,'Raw Data'!$B$1:$CQ$1,'Raw Data'!$B$9:$CQ$9)</f>
        <v>35000</v>
      </c>
      <c r="I2" s="21" t="str">
        <f>IF(F2&lt;&gt;"",IF(F2&gt;Constants!$F$3,"Large",IF(F2&lt;=Constants!$E$3,"Small","Medium")),"")</f>
        <v>Large</v>
      </c>
      <c r="J2" s="21" t="str">
        <f>IF(H2&lt;&gt;"",IF(H2&gt;Constants!$F$3,"Large",IF(H2&lt;=Constants!$E$3,"Small","Medium")),"")</f>
        <v>Large</v>
      </c>
      <c r="K2" s="21" t="b">
        <f t="shared" ref="K2:K33" si="0">J2=I2</f>
        <v>1</v>
      </c>
      <c r="M2" s="67">
        <f>COUNT(D2:D176)</f>
        <v>175</v>
      </c>
      <c r="N2" s="46">
        <f>COUNTIF(A2:A176,"*")</f>
        <v>94</v>
      </c>
      <c r="O2" s="47">
        <f>M2-N2</f>
        <v>81</v>
      </c>
      <c r="T2" s="120" t="s">
        <v>15</v>
      </c>
      <c r="U2" s="120" t="s">
        <v>74</v>
      </c>
      <c r="V2" s="121" t="s">
        <v>75</v>
      </c>
      <c r="W2" s="122" t="s">
        <v>81</v>
      </c>
      <c r="X2" s="116" t="s">
        <v>238</v>
      </c>
      <c r="AB2" s="120">
        <v>5</v>
      </c>
      <c r="AC2" s="121">
        <v>15</v>
      </c>
      <c r="AD2" s="121">
        <v>25</v>
      </c>
      <c r="AE2" s="121">
        <v>35</v>
      </c>
      <c r="AF2" s="121">
        <v>40</v>
      </c>
      <c r="AG2" s="121">
        <v>50</v>
      </c>
      <c r="AH2" s="121">
        <v>60</v>
      </c>
      <c r="AI2" s="121">
        <v>80</v>
      </c>
      <c r="AJ2" s="121">
        <v>85</v>
      </c>
      <c r="AK2" s="122">
        <v>90</v>
      </c>
      <c r="AL2" s="114" t="s">
        <v>238</v>
      </c>
    </row>
    <row r="3" spans="1:38" ht="15.75" thickBot="1" x14ac:dyDescent="0.3">
      <c r="A3" s="60" t="s">
        <v>64</v>
      </c>
      <c r="B3" s="18"/>
      <c r="C3" s="19"/>
      <c r="D3" s="18">
        <v>90</v>
      </c>
      <c r="E3" s="18"/>
      <c r="F3" s="18">
        <v>61000</v>
      </c>
      <c r="G3" s="20"/>
      <c r="H3" s="18">
        <f>LOOKUP(A3,'Raw Data'!$B$1:$CQ$1,'Raw Data'!$B$9:$CQ$9)</f>
        <v>120</v>
      </c>
      <c r="I3" s="21" t="str">
        <f>IF(F3&lt;&gt;"",IF(F3&gt;Constants!$F$3,"Large",IF(F3&lt;=Constants!$E$3,"Small","Medium")),"")</f>
        <v>Large</v>
      </c>
      <c r="J3" s="21" t="str">
        <f>IF(H3&lt;&gt;"",IF(H3&gt;Constants!$F$3,"Large",IF(H3&lt;=Constants!$E$3,"Small","Medium")),"")</f>
        <v>Small</v>
      </c>
      <c r="K3" s="21" t="b">
        <f t="shared" si="0"/>
        <v>0</v>
      </c>
      <c r="M3" s="161">
        <f>M2/M2</f>
        <v>1</v>
      </c>
      <c r="N3" s="161">
        <f>N2/M2</f>
        <v>0.53714285714285714</v>
      </c>
      <c r="O3" s="161">
        <f>O2/M2</f>
        <v>0.46285714285714286</v>
      </c>
      <c r="T3" s="117">
        <f>COUNTIF(F2:F95,"NULL")</f>
        <v>2</v>
      </c>
      <c r="U3" s="117">
        <f>COUNTIF($F$2:$F$95,"&lt;="&amp;Constants!E3)</f>
        <v>26</v>
      </c>
      <c r="V3" s="118">
        <f>COUNTIF($F$2:$F$95,"&lt;="&amp;Constants!F3)-U3</f>
        <v>32</v>
      </c>
      <c r="W3" s="119">
        <f>COUNTIF($F$2:$F$95,"&gt;"&amp;Constants!F3)</f>
        <v>34</v>
      </c>
      <c r="X3" s="114">
        <f>SUM(T3:W3)</f>
        <v>94</v>
      </c>
      <c r="AB3" s="117">
        <f>COUNTIF($D$2:$D$95,"="&amp;AB2)</f>
        <v>2</v>
      </c>
      <c r="AC3" s="117">
        <f>COUNTIF($D$2:$D$95,"="&amp;AC2)</f>
        <v>27</v>
      </c>
      <c r="AD3" s="117">
        <f t="shared" ref="AD3:AK3" si="1">COUNTIF($D$2:$D$95,"="&amp;AD2)</f>
        <v>6</v>
      </c>
      <c r="AE3" s="117">
        <f t="shared" si="1"/>
        <v>9</v>
      </c>
      <c r="AF3" s="117">
        <f t="shared" si="1"/>
        <v>12</v>
      </c>
      <c r="AG3" s="117">
        <f t="shared" si="1"/>
        <v>6</v>
      </c>
      <c r="AH3" s="117">
        <f t="shared" si="1"/>
        <v>16</v>
      </c>
      <c r="AI3" s="117">
        <f t="shared" si="1"/>
        <v>5</v>
      </c>
      <c r="AJ3" s="117">
        <f t="shared" si="1"/>
        <v>5</v>
      </c>
      <c r="AK3" s="117">
        <f t="shared" si="1"/>
        <v>6</v>
      </c>
      <c r="AL3" s="115">
        <f>SUM(AB3:AK3)</f>
        <v>94</v>
      </c>
    </row>
    <row r="4" spans="1:38" x14ac:dyDescent="0.25">
      <c r="A4" s="60" t="s">
        <v>66</v>
      </c>
      <c r="B4" s="18"/>
      <c r="C4" s="19"/>
      <c r="D4" s="18">
        <v>40</v>
      </c>
      <c r="E4" s="18"/>
      <c r="F4" s="18">
        <v>14000</v>
      </c>
      <c r="G4" s="20"/>
      <c r="H4" s="18">
        <f>LOOKUP(A4,'Raw Data'!$B$1:$CQ$1,'Raw Data'!$B$9:$CQ$9)</f>
        <v>0</v>
      </c>
      <c r="I4" s="21" t="str">
        <f>IF(F4&lt;&gt;"",IF(F4&gt;Constants!$F$3,"Large",IF(F4&lt;=Constants!$E$3,"Small","Medium")),"")</f>
        <v>Medium</v>
      </c>
      <c r="J4" s="21" t="str">
        <f>IF(H4&lt;&gt;"",IF(H4&gt;Constants!$F$3,"Large",IF(H4&lt;=Constants!$E$3,"Small","Medium")),"")</f>
        <v>Small</v>
      </c>
      <c r="K4" s="21" t="b">
        <f t="shared" si="0"/>
        <v>0</v>
      </c>
      <c r="T4" s="161">
        <f>T3/$X$3</f>
        <v>2.1276595744680851E-2</v>
      </c>
      <c r="U4" s="161">
        <f>U3/$X$3</f>
        <v>0.27659574468085107</v>
      </c>
      <c r="V4" s="161">
        <f>V3/$X$3</f>
        <v>0.34042553191489361</v>
      </c>
      <c r="W4" s="161">
        <f>W3/$X$3</f>
        <v>0.36170212765957449</v>
      </c>
      <c r="X4" s="173">
        <f>SUM(T4:W4)</f>
        <v>1</v>
      </c>
    </row>
    <row r="5" spans="1:38" x14ac:dyDescent="0.25">
      <c r="A5" s="60" t="s">
        <v>53</v>
      </c>
      <c r="B5" s="18"/>
      <c r="C5" s="19"/>
      <c r="D5" s="18">
        <v>40</v>
      </c>
      <c r="E5" s="18"/>
      <c r="F5" s="18">
        <v>35700</v>
      </c>
      <c r="G5" s="20"/>
      <c r="H5" s="18">
        <f>LOOKUP(A5,'Raw Data'!$B$1:$CQ$1,'Raw Data'!$B$9:$CQ$9)</f>
        <v>170000</v>
      </c>
      <c r="I5" s="21" t="str">
        <f>IF(F5&lt;&gt;"",IF(F5&gt;Constants!$F$3,"Large",IF(F5&lt;=Constants!$E$3,"Small","Medium")),"")</f>
        <v>Large</v>
      </c>
      <c r="J5" s="21" t="str">
        <f>IF(H5&lt;&gt;"",IF(H5&gt;Constants!$F$3,"Large",IF(H5&lt;=Constants!$E$3,"Small","Medium")),"")</f>
        <v>Large</v>
      </c>
      <c r="K5" s="21" t="b">
        <f t="shared" si="0"/>
        <v>1</v>
      </c>
    </row>
    <row r="6" spans="1:38" x14ac:dyDescent="0.25">
      <c r="A6" s="60" t="s">
        <v>54</v>
      </c>
      <c r="B6" s="18"/>
      <c r="C6" s="19"/>
      <c r="D6" s="18">
        <v>35</v>
      </c>
      <c r="E6" s="18"/>
      <c r="F6" s="18">
        <v>4750</v>
      </c>
      <c r="G6" s="20"/>
      <c r="H6" s="18">
        <f>LOOKUP(A6,'Raw Data'!$B$1:$CQ$1,'Raw Data'!$B$9:$CQ$9)</f>
        <v>4750</v>
      </c>
      <c r="I6" s="21" t="str">
        <f>IF(F6&lt;&gt;"",IF(F6&gt;Constants!$F$3,"Large",IF(F6&lt;=Constants!$E$3,"Small","Medium")),"")</f>
        <v>Small</v>
      </c>
      <c r="J6" s="21" t="str">
        <f>IF(H6&lt;&gt;"",IF(H6&gt;Constants!$F$3,"Large",IF(H6&lt;=Constants!$E$3,"Small","Medium")),"")</f>
        <v>Small</v>
      </c>
      <c r="K6" s="21" t="b">
        <f t="shared" si="0"/>
        <v>1</v>
      </c>
    </row>
    <row r="7" spans="1:38" x14ac:dyDescent="0.25">
      <c r="A7" s="60" t="s">
        <v>55</v>
      </c>
      <c r="B7" s="18"/>
      <c r="C7" s="19"/>
      <c r="D7" s="18">
        <v>50</v>
      </c>
      <c r="E7" s="18"/>
      <c r="F7" s="18">
        <v>319174</v>
      </c>
      <c r="G7" s="20"/>
      <c r="H7" s="18">
        <f>LOOKUP(A7,'Raw Data'!$B$1:$CQ$1,'Raw Data'!$B$9:$CQ$9)</f>
        <v>118000</v>
      </c>
      <c r="I7" s="21" t="str">
        <f>IF(F7&lt;&gt;"",IF(F7&gt;Constants!$F$3,"Large",IF(F7&lt;=Constants!$E$3,"Small","Medium")),"")</f>
        <v>Large</v>
      </c>
      <c r="J7" s="21" t="str">
        <f>IF(H7&lt;&gt;"",IF(H7&gt;Constants!$F$3,"Large",IF(H7&lt;=Constants!$E$3,"Small","Medium")),"")</f>
        <v>Large</v>
      </c>
      <c r="K7" s="21" t="b">
        <f t="shared" si="0"/>
        <v>1</v>
      </c>
    </row>
    <row r="8" spans="1:38" x14ac:dyDescent="0.25">
      <c r="A8" s="60" t="s">
        <v>56</v>
      </c>
      <c r="B8" s="18"/>
      <c r="C8" s="19"/>
      <c r="D8" s="18">
        <v>60</v>
      </c>
      <c r="E8" s="18"/>
      <c r="F8" s="18">
        <v>3880</v>
      </c>
      <c r="G8" s="20"/>
      <c r="H8" s="18">
        <f>LOOKUP(A8,'Raw Data'!$B$1:$CQ$1,'Raw Data'!$B$9:$CQ$9)</f>
        <v>7766</v>
      </c>
      <c r="I8" s="21" t="str">
        <f>IF(F8&lt;&gt;"",IF(F8&gt;Constants!$F$3,"Large",IF(F8&lt;=Constants!$E$3,"Small","Medium")),"")</f>
        <v>Small</v>
      </c>
      <c r="J8" s="21" t="str">
        <f>IF(H8&lt;&gt;"",IF(H8&gt;Constants!$F$3,"Large",IF(H8&lt;=Constants!$E$3,"Small","Medium")),"")</f>
        <v>Medium</v>
      </c>
      <c r="K8" s="21" t="b">
        <f t="shared" si="0"/>
        <v>0</v>
      </c>
    </row>
    <row r="9" spans="1:38" x14ac:dyDescent="0.25">
      <c r="A9" s="60" t="s">
        <v>57</v>
      </c>
      <c r="B9" s="18"/>
      <c r="C9" s="19"/>
      <c r="D9" s="18">
        <v>35</v>
      </c>
      <c r="E9" s="18"/>
      <c r="F9" s="18">
        <v>7000</v>
      </c>
      <c r="G9" s="20"/>
      <c r="H9" s="18">
        <f>LOOKUP(A9,'Raw Data'!$B$1:$CQ$1,'Raw Data'!$B$9:$CQ$9)</f>
        <v>3300</v>
      </c>
      <c r="I9" s="21" t="str">
        <f>IF(F9&lt;&gt;"",IF(F9&gt;Constants!$F$3,"Large",IF(F9&lt;=Constants!$E$3,"Small","Medium")),"")</f>
        <v>Medium</v>
      </c>
      <c r="J9" s="21" t="str">
        <f>IF(H9&lt;&gt;"",IF(H9&gt;Constants!$F$3,"Large",IF(H9&lt;=Constants!$E$3,"Small","Medium")),"")</f>
        <v>Small</v>
      </c>
      <c r="K9" s="21" t="b">
        <f t="shared" si="0"/>
        <v>0</v>
      </c>
    </row>
    <row r="10" spans="1:38" x14ac:dyDescent="0.25">
      <c r="A10" s="60" t="s">
        <v>58</v>
      </c>
      <c r="B10" s="18"/>
      <c r="C10" s="19"/>
      <c r="D10" s="18">
        <v>80</v>
      </c>
      <c r="E10" s="18"/>
      <c r="F10" s="18">
        <v>2373</v>
      </c>
      <c r="G10" s="20"/>
      <c r="H10" s="18">
        <f>LOOKUP(A10,'Raw Data'!$B$1:$CQ$1,'Raw Data'!$B$9:$CQ$9)</f>
        <v>2400</v>
      </c>
      <c r="I10" s="21" t="str">
        <f>IF(F10&lt;&gt;"",IF(F10&gt;Constants!$F$3,"Large",IF(F10&lt;=Constants!$E$3,"Small","Medium")),"")</f>
        <v>Small</v>
      </c>
      <c r="J10" s="21" t="str">
        <f>IF(H10&lt;&gt;"",IF(H10&gt;Constants!$F$3,"Large",IF(H10&lt;=Constants!$E$3,"Small","Medium")),"")</f>
        <v>Small</v>
      </c>
      <c r="K10" s="21" t="b">
        <f t="shared" si="0"/>
        <v>1</v>
      </c>
    </row>
    <row r="11" spans="1:38" x14ac:dyDescent="0.25">
      <c r="A11" s="60" t="s">
        <v>59</v>
      </c>
      <c r="B11" s="18"/>
      <c r="C11" s="19"/>
      <c r="D11" s="18">
        <v>90</v>
      </c>
      <c r="E11" s="18"/>
      <c r="F11" s="18">
        <v>7764</v>
      </c>
      <c r="G11" s="20"/>
      <c r="H11" s="18">
        <f>LOOKUP(A11,'Raw Data'!$B$1:$CQ$1,'Raw Data'!$B$9:$CQ$9)</f>
        <v>1500</v>
      </c>
      <c r="I11" s="21" t="str">
        <f>IF(F11&lt;&gt;"",IF(F11&gt;Constants!$F$3,"Large",IF(F11&lt;=Constants!$E$3,"Small","Medium")),"")</f>
        <v>Medium</v>
      </c>
      <c r="J11" s="21" t="str">
        <f>IF(H11&lt;&gt;"",IF(H11&gt;Constants!$F$3,"Large",IF(H11&lt;=Constants!$E$3,"Small","Medium")),"")</f>
        <v>Small</v>
      </c>
      <c r="K11" s="21" t="b">
        <f t="shared" si="0"/>
        <v>0</v>
      </c>
    </row>
    <row r="12" spans="1:38" x14ac:dyDescent="0.25">
      <c r="A12" s="60" t="s">
        <v>133</v>
      </c>
      <c r="B12" s="18"/>
      <c r="C12" s="19"/>
      <c r="D12" s="18">
        <v>35</v>
      </c>
      <c r="E12" s="18"/>
      <c r="F12" s="18">
        <v>4563</v>
      </c>
      <c r="G12" s="20"/>
      <c r="H12" s="18">
        <f>LOOKUP(A12,'Raw Data'!$B$1:$CQ$1,'Raw Data'!$B$9:$CQ$9)</f>
        <v>3450</v>
      </c>
      <c r="I12" s="21" t="str">
        <f>IF(F12&lt;&gt;"",IF(F12&gt;Constants!$F$3,"Large",IF(F12&lt;=Constants!$E$3,"Small","Medium")),"")</f>
        <v>Small</v>
      </c>
      <c r="J12" s="21" t="str">
        <f>IF(H12&lt;&gt;"",IF(H12&gt;Constants!$F$3,"Large",IF(H12&lt;=Constants!$E$3,"Small","Medium")),"")</f>
        <v>Small</v>
      </c>
      <c r="K12" s="21" t="b">
        <f t="shared" si="0"/>
        <v>1</v>
      </c>
    </row>
    <row r="13" spans="1:38" x14ac:dyDescent="0.25">
      <c r="A13" s="60" t="s">
        <v>134</v>
      </c>
      <c r="B13" s="18"/>
      <c r="C13" s="19"/>
      <c r="D13" s="18">
        <v>35</v>
      </c>
      <c r="E13" s="18"/>
      <c r="F13" s="18">
        <v>6000</v>
      </c>
      <c r="G13" s="20"/>
      <c r="H13" s="18">
        <f>LOOKUP(A13,'Raw Data'!$B$1:$CQ$1,'Raw Data'!$B$9:$CQ$9)</f>
        <v>6000</v>
      </c>
      <c r="I13" s="21" t="str">
        <f>IF(F13&lt;&gt;"",IF(F13&gt;Constants!$F$3,"Large",IF(F13&lt;=Constants!$E$3,"Small","Medium")),"")</f>
        <v>Medium</v>
      </c>
      <c r="J13" s="21" t="str">
        <f>IF(H13&lt;&gt;"",IF(H13&gt;Constants!$F$3,"Large",IF(H13&lt;=Constants!$E$3,"Small","Medium")),"")</f>
        <v>Medium</v>
      </c>
      <c r="K13" s="21" t="b">
        <f t="shared" si="0"/>
        <v>1</v>
      </c>
    </row>
    <row r="14" spans="1:38" x14ac:dyDescent="0.25">
      <c r="A14" s="60" t="s">
        <v>135</v>
      </c>
      <c r="B14" s="18"/>
      <c r="C14" s="19"/>
      <c r="D14" s="18">
        <v>25</v>
      </c>
      <c r="E14" s="18"/>
      <c r="F14" s="18">
        <v>223200</v>
      </c>
      <c r="G14" s="20"/>
      <c r="H14" s="18">
        <f>LOOKUP(A14,'Raw Data'!$B$1:$CQ$1,'Raw Data'!$B$9:$CQ$9)</f>
        <v>223200</v>
      </c>
      <c r="I14" s="21" t="str">
        <f>IF(F14&lt;&gt;"",IF(F14&gt;Constants!$F$3,"Large",IF(F14&lt;=Constants!$E$3,"Small","Medium")),"")</f>
        <v>Large</v>
      </c>
      <c r="J14" s="21" t="str">
        <f>IF(H14&lt;&gt;"",IF(H14&gt;Constants!$F$3,"Large",IF(H14&lt;=Constants!$E$3,"Small","Medium")),"")</f>
        <v>Large</v>
      </c>
      <c r="K14" s="21" t="b">
        <f t="shared" si="0"/>
        <v>1</v>
      </c>
    </row>
    <row r="15" spans="1:38" x14ac:dyDescent="0.25">
      <c r="A15" s="60" t="s">
        <v>136</v>
      </c>
      <c r="B15" s="18"/>
      <c r="C15" s="19"/>
      <c r="D15" s="18">
        <v>60</v>
      </c>
      <c r="E15" s="18"/>
      <c r="F15" s="18">
        <v>45000</v>
      </c>
      <c r="G15" s="20"/>
      <c r="H15" s="18">
        <f>LOOKUP(A15,'Raw Data'!$B$1:$CQ$1,'Raw Data'!$B$9:$CQ$9)</f>
        <v>300</v>
      </c>
      <c r="I15" s="21" t="str">
        <f>IF(F15&lt;&gt;"",IF(F15&gt;Constants!$F$3,"Large",IF(F15&lt;=Constants!$E$3,"Small","Medium")),"")</f>
        <v>Large</v>
      </c>
      <c r="J15" s="21" t="str">
        <f>IF(H15&lt;&gt;"",IF(H15&gt;Constants!$F$3,"Large",IF(H15&lt;=Constants!$E$3,"Small","Medium")),"")</f>
        <v>Small</v>
      </c>
      <c r="K15" s="21" t="b">
        <f t="shared" si="0"/>
        <v>0</v>
      </c>
    </row>
    <row r="16" spans="1:38" x14ac:dyDescent="0.25">
      <c r="A16" s="17" t="s">
        <v>145</v>
      </c>
      <c r="B16" s="18"/>
      <c r="C16" s="19"/>
      <c r="D16" s="18">
        <v>15</v>
      </c>
      <c r="E16" s="18"/>
      <c r="F16" s="18">
        <v>20000</v>
      </c>
      <c r="G16" s="20"/>
      <c r="H16" s="18">
        <f>LOOKUP(A16,'Raw Data'!$B$1:$CQ$1,'Raw Data'!$B$9:$CQ$9)</f>
        <v>16000</v>
      </c>
      <c r="I16" s="21" t="str">
        <f>IF(F16&lt;&gt;"",IF(F16&gt;Constants!$F$3,"Large",IF(F16&lt;=Constants!$E$3,"Small","Medium")),"")</f>
        <v>Medium</v>
      </c>
      <c r="J16" s="21" t="str">
        <f>IF(H16&lt;&gt;"",IF(H16&gt;Constants!$F$3,"Large",IF(H16&lt;=Constants!$E$3,"Small","Medium")),"")</f>
        <v>Medium</v>
      </c>
      <c r="K16" s="21" t="b">
        <f t="shared" si="0"/>
        <v>1</v>
      </c>
    </row>
    <row r="17" spans="1:11" x14ac:dyDescent="0.25">
      <c r="A17" s="17" t="s">
        <v>146</v>
      </c>
      <c r="B17" s="18"/>
      <c r="C17" s="19"/>
      <c r="D17" s="18">
        <v>90</v>
      </c>
      <c r="E17" s="18"/>
      <c r="F17" s="18">
        <v>200</v>
      </c>
      <c r="G17" s="20"/>
      <c r="H17" s="18">
        <f>LOOKUP(A17,'Raw Data'!$B$1:$CQ$1,'Raw Data'!$B$9:$CQ$9)</f>
        <v>2100</v>
      </c>
      <c r="I17" s="21" t="str">
        <f>IF(F17&lt;&gt;"",IF(F17&gt;Constants!$F$3,"Large",IF(F17&lt;=Constants!$E$3,"Small","Medium")),"")</f>
        <v>Small</v>
      </c>
      <c r="J17" s="21" t="str">
        <f>IF(H17&lt;&gt;"",IF(H17&gt;Constants!$F$3,"Large",IF(H17&lt;=Constants!$E$3,"Small","Medium")),"")</f>
        <v>Small</v>
      </c>
      <c r="K17" s="21" t="b">
        <f t="shared" si="0"/>
        <v>1</v>
      </c>
    </row>
    <row r="18" spans="1:11" x14ac:dyDescent="0.25">
      <c r="A18" s="108" t="s">
        <v>147</v>
      </c>
      <c r="B18" s="18"/>
      <c r="C18" s="19"/>
      <c r="D18" s="18">
        <v>60</v>
      </c>
      <c r="E18" s="18"/>
      <c r="F18" s="18">
        <v>1000</v>
      </c>
      <c r="G18" s="20"/>
      <c r="H18" s="18">
        <f>LOOKUP(A18,'Raw Data'!$B$1:$CQ$1,'Raw Data'!$B$9:$CQ$9)</f>
        <v>1000</v>
      </c>
      <c r="I18" s="21" t="str">
        <f>IF(F18&lt;&gt;"",IF(F18&gt;Constants!$F$3,"Large",IF(F18&lt;=Constants!$E$3,"Small","Medium")),"")</f>
        <v>Small</v>
      </c>
      <c r="J18" s="21" t="str">
        <f>IF(H18&lt;&gt;"",IF(H18&gt;Constants!$F$3,"Large",IF(H18&lt;=Constants!$E$3,"Small","Medium")),"")</f>
        <v>Small</v>
      </c>
      <c r="K18" s="21" t="b">
        <f t="shared" si="0"/>
        <v>1</v>
      </c>
    </row>
    <row r="19" spans="1:11" x14ac:dyDescent="0.25">
      <c r="A19" s="17" t="s">
        <v>148</v>
      </c>
      <c r="B19" s="18"/>
      <c r="C19" s="19"/>
      <c r="D19" s="18">
        <v>60</v>
      </c>
      <c r="E19" s="18"/>
      <c r="F19" s="18">
        <v>7000</v>
      </c>
      <c r="G19" s="20"/>
      <c r="H19" s="18">
        <f>LOOKUP(A19,'Raw Data'!$B$1:$CQ$1,'Raw Data'!$B$9:$CQ$9)</f>
        <v>200</v>
      </c>
      <c r="I19" s="21" t="str">
        <f>IF(F19&lt;&gt;"",IF(F19&gt;Constants!$F$3,"Large",IF(F19&lt;=Constants!$E$3,"Small","Medium")),"")</f>
        <v>Medium</v>
      </c>
      <c r="J19" s="21" t="str">
        <f>IF(H19&lt;&gt;"",IF(H19&gt;Constants!$F$3,"Large",IF(H19&lt;=Constants!$E$3,"Small","Medium")),"")</f>
        <v>Small</v>
      </c>
      <c r="K19" s="21" t="b">
        <f t="shared" si="0"/>
        <v>0</v>
      </c>
    </row>
    <row r="20" spans="1:11" x14ac:dyDescent="0.25">
      <c r="A20" s="17" t="s">
        <v>149</v>
      </c>
      <c r="B20" s="18"/>
      <c r="C20" s="19"/>
      <c r="D20" s="18">
        <v>90</v>
      </c>
      <c r="E20" s="18"/>
      <c r="F20" s="18">
        <v>2000</v>
      </c>
      <c r="G20" s="20"/>
      <c r="H20" s="18">
        <f>LOOKUP(A20,'Raw Data'!$B$1:$CQ$1,'Raw Data'!$B$9:$CQ$9)</f>
        <v>2500</v>
      </c>
      <c r="I20" s="21" t="str">
        <f>IF(F20&lt;&gt;"",IF(F20&gt;Constants!$F$3,"Large",IF(F20&lt;=Constants!$E$3,"Small","Medium")),"")</f>
        <v>Small</v>
      </c>
      <c r="J20" s="21" t="str">
        <f>IF(H20&lt;&gt;"",IF(H20&gt;Constants!$F$3,"Large",IF(H20&lt;=Constants!$E$3,"Small","Medium")),"")</f>
        <v>Small</v>
      </c>
      <c r="K20" s="21" t="b">
        <f t="shared" si="0"/>
        <v>1</v>
      </c>
    </row>
    <row r="21" spans="1:11" x14ac:dyDescent="0.25">
      <c r="A21" s="17" t="s">
        <v>150</v>
      </c>
      <c r="B21" s="18"/>
      <c r="C21" s="19"/>
      <c r="D21" s="18">
        <v>40</v>
      </c>
      <c r="E21" s="18"/>
      <c r="F21" s="18">
        <v>20000</v>
      </c>
      <c r="G21" s="20"/>
      <c r="H21" s="18">
        <f>LOOKUP(A21,'Raw Data'!$B$1:$CQ$1,'Raw Data'!$B$9:$CQ$9)</f>
        <v>20000</v>
      </c>
      <c r="I21" s="21" t="str">
        <f>IF(F21&lt;&gt;"",IF(F21&gt;Constants!$F$3,"Large",IF(F21&lt;=Constants!$E$3,"Small","Medium")),"")</f>
        <v>Medium</v>
      </c>
      <c r="J21" s="21" t="str">
        <f>IF(H21&lt;&gt;"",IF(H21&gt;Constants!$F$3,"Large",IF(H21&lt;=Constants!$E$3,"Small","Medium")),"")</f>
        <v>Medium</v>
      </c>
      <c r="K21" s="21" t="b">
        <f t="shared" si="0"/>
        <v>1</v>
      </c>
    </row>
    <row r="22" spans="1:11" x14ac:dyDescent="0.25">
      <c r="A22" s="17" t="s">
        <v>151</v>
      </c>
      <c r="B22" s="18"/>
      <c r="C22" s="19"/>
      <c r="D22" s="18">
        <v>15</v>
      </c>
      <c r="E22" s="18"/>
      <c r="F22" s="18">
        <v>12800</v>
      </c>
      <c r="G22" s="20"/>
      <c r="H22" s="18">
        <f>LOOKUP(A22,'Raw Data'!$B$1:$CQ$1,'Raw Data'!$B$9:$CQ$9)</f>
        <v>29568</v>
      </c>
      <c r="I22" s="21" t="str">
        <f>IF(F22&lt;&gt;"",IF(F22&gt;Constants!$F$3,"Large",IF(F22&lt;=Constants!$E$3,"Small","Medium")),"")</f>
        <v>Medium</v>
      </c>
      <c r="J22" s="21" t="str">
        <f>IF(H22&lt;&gt;"",IF(H22&gt;Constants!$F$3,"Large",IF(H22&lt;=Constants!$E$3,"Small","Medium")),"")</f>
        <v>Medium</v>
      </c>
      <c r="K22" s="21" t="b">
        <f t="shared" si="0"/>
        <v>1</v>
      </c>
    </row>
    <row r="23" spans="1:11" x14ac:dyDescent="0.25">
      <c r="A23" s="17" t="s">
        <v>152</v>
      </c>
      <c r="B23" s="18"/>
      <c r="C23" s="19"/>
      <c r="D23" s="18">
        <v>80</v>
      </c>
      <c r="E23" s="18"/>
      <c r="F23" s="18">
        <v>7882</v>
      </c>
      <c r="G23" s="20"/>
      <c r="H23" s="18">
        <f>LOOKUP(A23,'Raw Data'!$B$1:$CQ$1,'Raw Data'!$B$9:$CQ$9)</f>
        <v>10000</v>
      </c>
      <c r="I23" s="21" t="str">
        <f>IF(F23&lt;&gt;"",IF(F23&gt;Constants!$F$3,"Large",IF(F23&lt;=Constants!$E$3,"Small","Medium")),"")</f>
        <v>Medium</v>
      </c>
      <c r="J23" s="21" t="str">
        <f>IF(H23&lt;&gt;"",IF(H23&gt;Constants!$F$3,"Large",IF(H23&lt;=Constants!$E$3,"Small","Medium")),"")</f>
        <v>Medium</v>
      </c>
      <c r="K23" s="21" t="b">
        <f t="shared" si="0"/>
        <v>1</v>
      </c>
    </row>
    <row r="24" spans="1:11" x14ac:dyDescent="0.25">
      <c r="A24" s="17" t="s">
        <v>153</v>
      </c>
      <c r="B24" s="18"/>
      <c r="C24" s="19"/>
      <c r="D24" s="18">
        <v>40</v>
      </c>
      <c r="E24" s="18"/>
      <c r="F24" s="18">
        <v>566670</v>
      </c>
      <c r="G24" s="20"/>
      <c r="H24" s="18">
        <f>LOOKUP(A24,'Raw Data'!$B$1:$CQ$1,'Raw Data'!$B$9:$CQ$9)</f>
        <v>300</v>
      </c>
      <c r="I24" s="21" t="str">
        <f>IF(F24&lt;&gt;"",IF(F24&gt;Constants!$F$3,"Large",IF(F24&lt;=Constants!$E$3,"Small","Medium")),"")</f>
        <v>Large</v>
      </c>
      <c r="J24" s="21" t="str">
        <f>IF(H24&lt;&gt;"",IF(H24&gt;Constants!$F$3,"Large",IF(H24&lt;=Constants!$E$3,"Small","Medium")),"")</f>
        <v>Small</v>
      </c>
      <c r="K24" s="21" t="b">
        <f t="shared" si="0"/>
        <v>0</v>
      </c>
    </row>
    <row r="25" spans="1:11" x14ac:dyDescent="0.25">
      <c r="A25" s="17" t="s">
        <v>154</v>
      </c>
      <c r="B25" s="18"/>
      <c r="C25" s="19"/>
      <c r="D25" s="18">
        <v>50</v>
      </c>
      <c r="E25" s="18"/>
      <c r="F25" s="18">
        <v>56035</v>
      </c>
      <c r="G25" s="20"/>
      <c r="H25" s="18">
        <f>LOOKUP(A25,'Raw Data'!$B$1:$CQ$1,'Raw Data'!$B$9:$CQ$9)</f>
        <v>500000</v>
      </c>
      <c r="I25" s="21" t="str">
        <f>IF(F25&lt;&gt;"",IF(F25&gt;Constants!$F$3,"Large",IF(F25&lt;=Constants!$E$3,"Small","Medium")),"")</f>
        <v>Large</v>
      </c>
      <c r="J25" s="21" t="str">
        <f>IF(H25&lt;&gt;"",IF(H25&gt;Constants!$F$3,"Large",IF(H25&lt;=Constants!$E$3,"Small","Medium")),"")</f>
        <v>Large</v>
      </c>
      <c r="K25" s="21" t="b">
        <f t="shared" si="0"/>
        <v>1</v>
      </c>
    </row>
    <row r="26" spans="1:11" x14ac:dyDescent="0.25">
      <c r="A26" s="17" t="s">
        <v>162</v>
      </c>
      <c r="B26" s="18"/>
      <c r="C26" s="19"/>
      <c r="D26" s="18">
        <v>25</v>
      </c>
      <c r="E26" s="18"/>
      <c r="F26" s="18">
        <v>3600</v>
      </c>
      <c r="G26" s="20"/>
      <c r="H26" s="18">
        <f>LOOKUP(A26,'Raw Data'!$B$1:$CQ$1,'Raw Data'!$B$9:$CQ$9)</f>
        <v>25000</v>
      </c>
      <c r="I26" s="21" t="str">
        <f>IF(F26&lt;&gt;"",IF(F26&gt;Constants!$F$3,"Large",IF(F26&lt;=Constants!$E$3,"Small","Medium")),"")</f>
        <v>Small</v>
      </c>
      <c r="J26" s="21" t="str">
        <f>IF(H26&lt;&gt;"",IF(H26&gt;Constants!$F$3,"Large",IF(H26&lt;=Constants!$E$3,"Small","Medium")),"")</f>
        <v>Medium</v>
      </c>
      <c r="K26" s="21" t="b">
        <f t="shared" si="0"/>
        <v>0</v>
      </c>
    </row>
    <row r="27" spans="1:11" x14ac:dyDescent="0.25">
      <c r="A27" s="17" t="s">
        <v>163</v>
      </c>
      <c r="B27" s="18"/>
      <c r="C27" s="19"/>
      <c r="D27" s="18">
        <v>60</v>
      </c>
      <c r="E27" s="18"/>
      <c r="F27" s="18">
        <v>8128</v>
      </c>
      <c r="G27" s="20"/>
      <c r="H27" s="18">
        <f>LOOKUP(A27,'Raw Data'!$B$1:$CQ$1,'Raw Data'!$B$9:$CQ$9)</f>
        <v>4000</v>
      </c>
      <c r="I27" s="21" t="str">
        <f>IF(F27&lt;&gt;"",IF(F27&gt;Constants!$F$3,"Large",IF(F27&lt;=Constants!$E$3,"Small","Medium")),"")</f>
        <v>Medium</v>
      </c>
      <c r="J27" s="21" t="str">
        <f>IF(H27&lt;&gt;"",IF(H27&gt;Constants!$F$3,"Large",IF(H27&lt;=Constants!$E$3,"Small","Medium")),"")</f>
        <v>Small</v>
      </c>
      <c r="K27" s="21" t="b">
        <f t="shared" si="0"/>
        <v>0</v>
      </c>
    </row>
    <row r="28" spans="1:11" x14ac:dyDescent="0.25">
      <c r="A28" s="17" t="s">
        <v>164</v>
      </c>
      <c r="B28" s="18"/>
      <c r="C28" s="19"/>
      <c r="D28" s="18">
        <v>40</v>
      </c>
      <c r="E28" s="18"/>
      <c r="F28" s="18">
        <v>11579</v>
      </c>
      <c r="G28" s="20"/>
      <c r="H28" s="18">
        <f>LOOKUP(A28,'Raw Data'!$B$1:$CQ$1,'Raw Data'!$B$9:$CQ$9)</f>
        <v>11579</v>
      </c>
      <c r="I28" s="21" t="str">
        <f>IF(F28&lt;&gt;"",IF(F28&gt;Constants!$F$3,"Large",IF(F28&lt;=Constants!$E$3,"Small","Medium")),"")</f>
        <v>Medium</v>
      </c>
      <c r="J28" s="21" t="str">
        <f>IF(H28&lt;&gt;"",IF(H28&gt;Constants!$F$3,"Large",IF(H28&lt;=Constants!$E$3,"Small","Medium")),"")</f>
        <v>Medium</v>
      </c>
      <c r="K28" s="21" t="b">
        <f t="shared" si="0"/>
        <v>1</v>
      </c>
    </row>
    <row r="29" spans="1:11" x14ac:dyDescent="0.25">
      <c r="A29" s="17" t="s">
        <v>165</v>
      </c>
      <c r="B29" s="18"/>
      <c r="C29" s="19"/>
      <c r="D29" s="18">
        <v>60</v>
      </c>
      <c r="E29" s="18"/>
      <c r="F29" s="18">
        <v>3821</v>
      </c>
      <c r="G29" s="20"/>
      <c r="H29" s="18">
        <f>LOOKUP(A29,'Raw Data'!$B$1:$CQ$1,'Raw Data'!$B$9:$CQ$9)</f>
        <v>3821</v>
      </c>
      <c r="I29" s="21" t="str">
        <f>IF(F29&lt;&gt;"",IF(F29&gt;Constants!$F$3,"Large",IF(F29&lt;=Constants!$E$3,"Small","Medium")),"")</f>
        <v>Small</v>
      </c>
      <c r="J29" s="21" t="str">
        <f>IF(H29&lt;&gt;"",IF(H29&gt;Constants!$F$3,"Large",IF(H29&lt;=Constants!$E$3,"Small","Medium")),"")</f>
        <v>Small</v>
      </c>
      <c r="K29" s="21" t="b">
        <f t="shared" si="0"/>
        <v>1</v>
      </c>
    </row>
    <row r="30" spans="1:11" x14ac:dyDescent="0.25">
      <c r="A30" s="17" t="s">
        <v>166</v>
      </c>
      <c r="B30" s="18"/>
      <c r="C30" s="19"/>
      <c r="D30" s="18">
        <v>60</v>
      </c>
      <c r="E30" s="18"/>
      <c r="F30" s="18">
        <v>4500</v>
      </c>
      <c r="G30" s="20"/>
      <c r="H30" s="18">
        <f>LOOKUP(A30,'Raw Data'!$B$1:$CQ$1,'Raw Data'!$B$9:$CQ$9)</f>
        <v>3328</v>
      </c>
      <c r="I30" s="21" t="str">
        <f>IF(F30&lt;&gt;"",IF(F30&gt;Constants!$F$3,"Large",IF(F30&lt;=Constants!$E$3,"Small","Medium")),"")</f>
        <v>Small</v>
      </c>
      <c r="J30" s="21" t="str">
        <f>IF(H30&lt;&gt;"",IF(H30&gt;Constants!$F$3,"Large",IF(H30&lt;=Constants!$E$3,"Small","Medium")),"")</f>
        <v>Small</v>
      </c>
      <c r="K30" s="21" t="b">
        <f t="shared" si="0"/>
        <v>1</v>
      </c>
    </row>
    <row r="31" spans="1:11" x14ac:dyDescent="0.25">
      <c r="A31" s="17" t="s">
        <v>167</v>
      </c>
      <c r="B31" s="18"/>
      <c r="C31" s="19"/>
      <c r="D31" s="18">
        <v>15</v>
      </c>
      <c r="E31" s="18"/>
      <c r="F31" s="18">
        <v>268000</v>
      </c>
      <c r="G31" s="20"/>
      <c r="H31" s="18">
        <f>LOOKUP(A31,'Raw Data'!$B$1:$CQ$1,'Raw Data'!$B$9:$CQ$9)</f>
        <v>268000</v>
      </c>
      <c r="I31" s="21" t="str">
        <f>IF(F31&lt;&gt;"",IF(F31&gt;Constants!$F$3,"Large",IF(F31&lt;=Constants!$E$3,"Small","Medium")),"")</f>
        <v>Large</v>
      </c>
      <c r="J31" s="21" t="str">
        <f>IF(H31&lt;&gt;"",IF(H31&gt;Constants!$F$3,"Large",IF(H31&lt;=Constants!$E$3,"Small","Medium")),"")</f>
        <v>Large</v>
      </c>
      <c r="K31" s="21" t="b">
        <f t="shared" si="0"/>
        <v>1</v>
      </c>
    </row>
    <row r="32" spans="1:11" x14ac:dyDescent="0.25">
      <c r="A32" s="108" t="s">
        <v>168</v>
      </c>
      <c r="B32" s="18"/>
      <c r="C32" s="19"/>
      <c r="D32" s="18">
        <v>15</v>
      </c>
      <c r="E32" s="18"/>
      <c r="F32" s="18">
        <v>121200</v>
      </c>
      <c r="G32" s="20"/>
      <c r="H32" s="18">
        <f>LOOKUP(A32,'Raw Data'!$B$1:$CQ$1,'Raw Data'!$B$9:$CQ$9)</f>
        <v>150</v>
      </c>
      <c r="I32" s="21" t="str">
        <f>IF(F32&lt;&gt;"",IF(F32&gt;Constants!$F$3,"Large",IF(F32&lt;=Constants!$E$3,"Small","Medium")),"")</f>
        <v>Large</v>
      </c>
      <c r="J32" s="21" t="str">
        <f>IF(H32&lt;&gt;"",IF(H32&gt;Constants!$F$3,"Large",IF(H32&lt;=Constants!$E$3,"Small","Medium")),"")</f>
        <v>Small</v>
      </c>
      <c r="K32" s="21" t="b">
        <f t="shared" si="0"/>
        <v>0</v>
      </c>
    </row>
    <row r="33" spans="1:11" x14ac:dyDescent="0.25">
      <c r="A33" s="108" t="s">
        <v>169</v>
      </c>
      <c r="B33" s="18"/>
      <c r="C33" s="19"/>
      <c r="D33" s="18">
        <v>15</v>
      </c>
      <c r="E33" s="18"/>
      <c r="F33" s="18">
        <v>524000</v>
      </c>
      <c r="G33" s="20"/>
      <c r="H33" s="18">
        <f>LOOKUP(A33,'Raw Data'!$B$1:$CQ$1,'Raw Data'!$B$9:$CQ$9)</f>
        <v>0</v>
      </c>
      <c r="I33" s="21" t="str">
        <f>IF(F33&lt;&gt;"",IF(F33&gt;Constants!$F$3,"Large",IF(F33&lt;=Constants!$E$3,"Small","Medium")),"")</f>
        <v>Large</v>
      </c>
      <c r="J33" s="21" t="str">
        <f>IF(H33&lt;&gt;"",IF(H33&gt;Constants!$F$3,"Large",IF(H33&lt;=Constants!$E$3,"Small","Medium")),"")</f>
        <v>Small</v>
      </c>
      <c r="K33" s="21" t="b">
        <f t="shared" si="0"/>
        <v>0</v>
      </c>
    </row>
    <row r="34" spans="1:11" x14ac:dyDescent="0.25">
      <c r="A34" s="108" t="s">
        <v>170</v>
      </c>
      <c r="B34" s="18"/>
      <c r="C34" s="19"/>
      <c r="D34" s="18">
        <v>90</v>
      </c>
      <c r="E34" s="18"/>
      <c r="F34" s="18">
        <v>3200</v>
      </c>
      <c r="G34" s="20"/>
      <c r="H34" s="18">
        <f>LOOKUP(A34,'Raw Data'!$B$1:$CQ$1,'Raw Data'!$B$9:$CQ$9)</f>
        <v>30000</v>
      </c>
      <c r="I34" s="21" t="str">
        <f>IF(F34&lt;&gt;"",IF(F34&gt;Constants!$F$3,"Large",IF(F34&lt;=Constants!$E$3,"Small","Medium")),"")</f>
        <v>Small</v>
      </c>
      <c r="J34" s="21" t="str">
        <f>IF(H34&lt;&gt;"",IF(H34&gt;Constants!$F$3,"Large",IF(H34&lt;=Constants!$E$3,"Small","Medium")),"")</f>
        <v>Medium</v>
      </c>
      <c r="K34" s="21" t="b">
        <f t="shared" ref="K34:K65" si="2">J34=I34</f>
        <v>0</v>
      </c>
    </row>
    <row r="35" spans="1:11" x14ac:dyDescent="0.25">
      <c r="A35" s="17" t="s">
        <v>171</v>
      </c>
      <c r="B35" s="18"/>
      <c r="C35" s="19"/>
      <c r="D35" s="18">
        <v>40</v>
      </c>
      <c r="E35" s="18"/>
      <c r="F35" s="18">
        <v>999</v>
      </c>
      <c r="G35" s="20"/>
      <c r="H35" s="18">
        <f>LOOKUP(A35,'Raw Data'!$B$1:$CQ$1,'Raw Data'!$B$9:$CQ$9)</f>
        <v>300</v>
      </c>
      <c r="I35" s="21" t="str">
        <f>IF(F35&lt;&gt;"",IF(F35&gt;Constants!$F$3,"Large",IF(F35&lt;=Constants!$E$3,"Small","Medium")),"")</f>
        <v>Small</v>
      </c>
      <c r="J35" s="21" t="str">
        <f>IF(H35&lt;&gt;"",IF(H35&gt;Constants!$F$3,"Large",IF(H35&lt;=Constants!$E$3,"Small","Medium")),"")</f>
        <v>Small</v>
      </c>
      <c r="K35" s="21" t="b">
        <f t="shared" si="2"/>
        <v>1</v>
      </c>
    </row>
    <row r="36" spans="1:11" x14ac:dyDescent="0.25">
      <c r="A36" s="17" t="s">
        <v>172</v>
      </c>
      <c r="B36" s="18"/>
      <c r="C36" s="19"/>
      <c r="D36" s="18">
        <v>15</v>
      </c>
      <c r="E36" s="18"/>
      <c r="F36" s="18">
        <v>143220</v>
      </c>
      <c r="G36" s="20"/>
      <c r="H36" s="18">
        <f>LOOKUP(A36,'Raw Data'!$B$1:$CQ$1,'Raw Data'!$B$9:$CQ$9)</f>
        <v>7310</v>
      </c>
      <c r="I36" s="21" t="str">
        <f>IF(F36&lt;&gt;"",IF(F36&gt;Constants!$F$3,"Large",IF(F36&lt;=Constants!$E$3,"Small","Medium")),"")</f>
        <v>Large</v>
      </c>
      <c r="J36" s="21" t="str">
        <f>IF(H36&lt;&gt;"",IF(H36&gt;Constants!$F$3,"Large",IF(H36&lt;=Constants!$E$3,"Small","Medium")),"")</f>
        <v>Medium</v>
      </c>
      <c r="K36" s="21" t="b">
        <f t="shared" si="2"/>
        <v>0</v>
      </c>
    </row>
    <row r="37" spans="1:11" x14ac:dyDescent="0.25">
      <c r="A37" s="166" t="s">
        <v>173</v>
      </c>
      <c r="B37" s="110"/>
      <c r="C37" s="111"/>
      <c r="D37" s="110">
        <v>15</v>
      </c>
      <c r="E37" s="110"/>
      <c r="F37" s="110">
        <v>830938</v>
      </c>
      <c r="G37" s="112"/>
      <c r="H37" s="18">
        <f>LOOKUP(A37,'Raw Data'!$B$1:$CQ$1,'Raw Data'!$B$9:$CQ$9)</f>
        <v>750000</v>
      </c>
      <c r="I37" s="21" t="str">
        <f>IF(F37&lt;&gt;"",IF(F37&gt;Constants!$F$3,"Large",IF(F37&lt;=Constants!$E$3,"Small","Medium")),"")</f>
        <v>Large</v>
      </c>
      <c r="J37" s="21" t="str">
        <f>IF(H37&lt;&gt;"",IF(H37&gt;Constants!$F$3,"Large",IF(H37&lt;=Constants!$E$3,"Small","Medium")),"")</f>
        <v>Large</v>
      </c>
      <c r="K37" s="21" t="b">
        <f t="shared" si="2"/>
        <v>1</v>
      </c>
    </row>
    <row r="38" spans="1:11" x14ac:dyDescent="0.25">
      <c r="A38" s="108" t="s">
        <v>174</v>
      </c>
      <c r="B38" s="18"/>
      <c r="C38" s="19"/>
      <c r="D38" s="18">
        <v>60</v>
      </c>
      <c r="E38" s="18"/>
      <c r="F38" s="18">
        <v>18500</v>
      </c>
      <c r="G38" s="20"/>
      <c r="H38" s="18">
        <f>LOOKUP(A38,'Raw Data'!$B$1:$CQ$1,'Raw Data'!$B$9:$CQ$9)</f>
        <v>18500</v>
      </c>
      <c r="I38" s="21" t="str">
        <f>IF(F38&lt;&gt;"",IF(F38&gt;Constants!$F$3,"Large",IF(F38&lt;=Constants!$E$3,"Small","Medium")),"")</f>
        <v>Medium</v>
      </c>
      <c r="J38" s="21" t="str">
        <f>IF(H38&lt;&gt;"",IF(H38&gt;Constants!$F$3,"Large",IF(H38&lt;=Constants!$E$3,"Small","Medium")),"")</f>
        <v>Medium</v>
      </c>
      <c r="K38" s="21" t="b">
        <f t="shared" si="2"/>
        <v>1</v>
      </c>
    </row>
    <row r="39" spans="1:11" x14ac:dyDescent="0.25">
      <c r="A39" s="17" t="s">
        <v>175</v>
      </c>
      <c r="B39" s="18"/>
      <c r="C39" s="19"/>
      <c r="D39" s="18">
        <v>25</v>
      </c>
      <c r="E39" s="18"/>
      <c r="F39" s="18">
        <v>54540</v>
      </c>
      <c r="G39" s="20"/>
      <c r="H39" s="18">
        <f>LOOKUP(A39,'Raw Data'!$B$1:$CQ$1,'Raw Data'!$B$9:$CQ$9)</f>
        <v>54000</v>
      </c>
      <c r="I39" s="21" t="str">
        <f>IF(F39&lt;&gt;"",IF(F39&gt;Constants!$F$3,"Large",IF(F39&lt;=Constants!$E$3,"Small","Medium")),"")</f>
        <v>Large</v>
      </c>
      <c r="J39" s="21" t="str">
        <f>IF(H39&lt;&gt;"",IF(H39&gt;Constants!$F$3,"Large",IF(H39&lt;=Constants!$E$3,"Small","Medium")),"")</f>
        <v>Large</v>
      </c>
      <c r="K39" s="21" t="b">
        <f t="shared" si="2"/>
        <v>1</v>
      </c>
    </row>
    <row r="40" spans="1:11" x14ac:dyDescent="0.25">
      <c r="A40" s="108" t="s">
        <v>176</v>
      </c>
      <c r="B40" s="18"/>
      <c r="C40" s="19"/>
      <c r="D40" s="18">
        <v>60</v>
      </c>
      <c r="E40" s="18"/>
      <c r="F40" s="18">
        <v>2850</v>
      </c>
      <c r="G40" s="20"/>
      <c r="H40" s="18">
        <f>LOOKUP(A40,'Raw Data'!$B$1:$CQ$1,'Raw Data'!$B$9:$CQ$9)</f>
        <v>2850</v>
      </c>
      <c r="I40" s="21" t="str">
        <f>IF(F40&lt;&gt;"",IF(F40&gt;Constants!$F$3,"Large",IF(F40&lt;=Constants!$E$3,"Small","Medium")),"")</f>
        <v>Small</v>
      </c>
      <c r="J40" s="21" t="str">
        <f>IF(H40&lt;&gt;"",IF(H40&gt;Constants!$F$3,"Large",IF(H40&lt;=Constants!$E$3,"Small","Medium")),"")</f>
        <v>Small</v>
      </c>
      <c r="K40" s="21" t="b">
        <f t="shared" si="2"/>
        <v>1</v>
      </c>
    </row>
    <row r="41" spans="1:11" x14ac:dyDescent="0.25">
      <c r="A41" s="108" t="s">
        <v>177</v>
      </c>
      <c r="B41" s="18"/>
      <c r="C41" s="19"/>
      <c r="D41" s="18">
        <v>50</v>
      </c>
      <c r="E41" s="18"/>
      <c r="F41" s="18">
        <v>3225</v>
      </c>
      <c r="G41" s="20"/>
      <c r="H41" s="18">
        <f>LOOKUP(A41,'Raw Data'!$B$1:$CQ$1,'Raw Data'!$B$9:$CQ$9)</f>
        <v>3225</v>
      </c>
      <c r="I41" s="21" t="str">
        <f>IF(F41&lt;&gt;"",IF(F41&gt;Constants!$F$3,"Large",IF(F41&lt;=Constants!$E$3,"Small","Medium")),"")</f>
        <v>Small</v>
      </c>
      <c r="J41" s="21" t="str">
        <f>IF(H41&lt;&gt;"",IF(H41&gt;Constants!$F$3,"Large",IF(H41&lt;=Constants!$E$3,"Small","Medium")),"")</f>
        <v>Small</v>
      </c>
      <c r="K41" s="21" t="b">
        <f t="shared" si="2"/>
        <v>1</v>
      </c>
    </row>
    <row r="42" spans="1:11" x14ac:dyDescent="0.25">
      <c r="A42" s="108" t="s">
        <v>178</v>
      </c>
      <c r="B42" s="18"/>
      <c r="C42" s="19"/>
      <c r="D42" s="18">
        <v>60</v>
      </c>
      <c r="E42" s="18"/>
      <c r="F42" s="18">
        <v>9800</v>
      </c>
      <c r="G42" s="20"/>
      <c r="H42" s="18">
        <f>LOOKUP(A42,'Raw Data'!$B$1:$CQ$1,'Raw Data'!$B$9:$CQ$9)</f>
        <v>9800</v>
      </c>
      <c r="I42" s="21" t="str">
        <f>IF(F42&lt;&gt;"",IF(F42&gt;Constants!$F$3,"Large",IF(F42&lt;=Constants!$E$3,"Small","Medium")),"")</f>
        <v>Medium</v>
      </c>
      <c r="J42" s="21" t="str">
        <f>IF(H42&lt;&gt;"",IF(H42&gt;Constants!$F$3,"Large",IF(H42&lt;=Constants!$E$3,"Small","Medium")),"")</f>
        <v>Medium</v>
      </c>
      <c r="K42" s="21" t="b">
        <f t="shared" si="2"/>
        <v>1</v>
      </c>
    </row>
    <row r="43" spans="1:11" x14ac:dyDescent="0.25">
      <c r="A43" s="108" t="s">
        <v>179</v>
      </c>
      <c r="B43" s="18"/>
      <c r="C43" s="19"/>
      <c r="D43" s="18">
        <v>80</v>
      </c>
      <c r="E43" s="18"/>
      <c r="F43" s="18">
        <v>27958</v>
      </c>
      <c r="G43" s="20"/>
      <c r="H43" s="18">
        <f>LOOKUP(A43,'Raw Data'!$B$1:$CQ$1,'Raw Data'!$B$9:$CQ$9)</f>
        <v>30</v>
      </c>
      <c r="I43" s="21" t="str">
        <f>IF(F43&lt;&gt;"",IF(F43&gt;Constants!$F$3,"Large",IF(F43&lt;=Constants!$E$3,"Small","Medium")),"")</f>
        <v>Medium</v>
      </c>
      <c r="J43" s="21" t="str">
        <f>IF(H43&lt;&gt;"",IF(H43&gt;Constants!$F$3,"Large",IF(H43&lt;=Constants!$E$3,"Small","Medium")),"")</f>
        <v>Small</v>
      </c>
      <c r="K43" s="21" t="b">
        <f t="shared" si="2"/>
        <v>0</v>
      </c>
    </row>
    <row r="44" spans="1:11" x14ac:dyDescent="0.25">
      <c r="A44" s="108" t="s">
        <v>180</v>
      </c>
      <c r="B44" s="18"/>
      <c r="C44" s="19"/>
      <c r="D44" s="18">
        <v>35</v>
      </c>
      <c r="E44" s="18"/>
      <c r="F44" s="18">
        <v>738038</v>
      </c>
      <c r="G44" s="20"/>
      <c r="H44" s="18">
        <f>LOOKUP(A44,'Raw Data'!$B$1:$CQ$1,'Raw Data'!$B$9:$CQ$9)</f>
        <v>738038</v>
      </c>
      <c r="I44" s="21" t="str">
        <f>IF(F44&lt;&gt;"",IF(F44&gt;Constants!$F$3,"Large",IF(F44&lt;=Constants!$E$3,"Small","Medium")),"")</f>
        <v>Large</v>
      </c>
      <c r="J44" s="21" t="str">
        <f>IF(H44&lt;&gt;"",IF(H44&gt;Constants!$F$3,"Large",IF(H44&lt;=Constants!$E$3,"Small","Medium")),"")</f>
        <v>Large</v>
      </c>
      <c r="K44" s="21" t="b">
        <f t="shared" si="2"/>
        <v>1</v>
      </c>
    </row>
    <row r="45" spans="1:11" x14ac:dyDescent="0.25">
      <c r="A45" s="17" t="s">
        <v>181</v>
      </c>
      <c r="B45" s="18"/>
      <c r="C45" s="19"/>
      <c r="D45" s="18">
        <v>50</v>
      </c>
      <c r="E45" s="18"/>
      <c r="F45" s="18">
        <v>6500</v>
      </c>
      <c r="G45" s="20"/>
      <c r="H45" s="18">
        <f>LOOKUP(A45,'Raw Data'!$B$1:$CQ$1,'Raw Data'!$B$9:$CQ$9)</f>
        <v>6500</v>
      </c>
      <c r="I45" s="21" t="str">
        <f>IF(F45&lt;&gt;"",IF(F45&gt;Constants!$F$3,"Large",IF(F45&lt;=Constants!$E$3,"Small","Medium")),"")</f>
        <v>Medium</v>
      </c>
      <c r="J45" s="21" t="str">
        <f>IF(H45&lt;&gt;"",IF(H45&gt;Constants!$F$3,"Large",IF(H45&lt;=Constants!$E$3,"Small","Medium")),"")</f>
        <v>Medium</v>
      </c>
      <c r="K45" s="21" t="b">
        <f t="shared" si="2"/>
        <v>1</v>
      </c>
    </row>
    <row r="46" spans="1:11" x14ac:dyDescent="0.25">
      <c r="A46" s="108" t="s">
        <v>182</v>
      </c>
      <c r="B46" s="18"/>
      <c r="C46" s="19"/>
      <c r="D46" s="18">
        <v>60</v>
      </c>
      <c r="E46" s="18"/>
      <c r="F46" s="18">
        <v>11000</v>
      </c>
      <c r="G46" s="20"/>
      <c r="H46" s="18">
        <f>LOOKUP(A46,'Raw Data'!$B$1:$CQ$1,'Raw Data'!$B$9:$CQ$9)</f>
        <v>11000</v>
      </c>
      <c r="I46" s="21" t="str">
        <f>IF(F46&lt;&gt;"",IF(F46&gt;Constants!$F$3,"Large",IF(F46&lt;=Constants!$E$3,"Small","Medium")),"")</f>
        <v>Medium</v>
      </c>
      <c r="J46" s="21" t="str">
        <f>IF(H46&lt;&gt;"",IF(H46&gt;Constants!$F$3,"Large",IF(H46&lt;=Constants!$E$3,"Small","Medium")),"")</f>
        <v>Medium</v>
      </c>
      <c r="K46" s="21" t="b">
        <f t="shared" si="2"/>
        <v>1</v>
      </c>
    </row>
    <row r="47" spans="1:11" x14ac:dyDescent="0.25">
      <c r="A47" s="108" t="s">
        <v>183</v>
      </c>
      <c r="B47" s="18"/>
      <c r="C47" s="19"/>
      <c r="D47" s="18">
        <v>60</v>
      </c>
      <c r="E47" s="18"/>
      <c r="F47" s="18">
        <v>153395</v>
      </c>
      <c r="G47" s="20"/>
      <c r="H47" s="18">
        <f>LOOKUP(A47,'Raw Data'!$B$1:$CQ$1,'Raw Data'!$B$9:$CQ$9)</f>
        <v>100</v>
      </c>
      <c r="I47" s="21" t="str">
        <f>IF(F47&lt;&gt;"",IF(F47&gt;Constants!$F$3,"Large",IF(F47&lt;=Constants!$E$3,"Small","Medium")),"")</f>
        <v>Large</v>
      </c>
      <c r="J47" s="21" t="str">
        <f>IF(H47&lt;&gt;"",IF(H47&gt;Constants!$F$3,"Large",IF(H47&lt;=Constants!$E$3,"Small","Medium")),"")</f>
        <v>Small</v>
      </c>
      <c r="K47" s="21" t="b">
        <f t="shared" si="2"/>
        <v>0</v>
      </c>
    </row>
    <row r="48" spans="1:11" x14ac:dyDescent="0.25">
      <c r="A48" s="17" t="s">
        <v>184</v>
      </c>
      <c r="B48" s="18"/>
      <c r="C48" s="19"/>
      <c r="D48" s="18">
        <v>15</v>
      </c>
      <c r="E48" s="18"/>
      <c r="F48" s="18">
        <v>688201.58</v>
      </c>
      <c r="G48" s="20"/>
      <c r="H48" s="18">
        <f>LOOKUP(A48,'Raw Data'!$B$1:$CQ$1,'Raw Data'!$B$9:$CQ$9)</f>
        <v>688202</v>
      </c>
      <c r="I48" s="21" t="str">
        <f>IF(F48&lt;&gt;"",IF(F48&gt;Constants!$F$3,"Large",IF(F48&lt;=Constants!$E$3,"Small","Medium")),"")</f>
        <v>Large</v>
      </c>
      <c r="J48" s="21" t="str">
        <f>IF(H48&lt;&gt;"",IF(H48&gt;Constants!$F$3,"Large",IF(H48&lt;=Constants!$E$3,"Small","Medium")),"")</f>
        <v>Large</v>
      </c>
      <c r="K48" s="21" t="b">
        <f t="shared" si="2"/>
        <v>1</v>
      </c>
    </row>
    <row r="49" spans="1:11" x14ac:dyDescent="0.25">
      <c r="A49" s="108" t="s">
        <v>185</v>
      </c>
      <c r="B49" s="18"/>
      <c r="C49" s="19"/>
      <c r="D49" s="18">
        <v>60</v>
      </c>
      <c r="E49" s="18"/>
      <c r="F49" s="18">
        <v>3700</v>
      </c>
      <c r="G49" s="20"/>
      <c r="H49" s="18">
        <f>LOOKUP(A49,'Raw Data'!$B$1:$CQ$1,'Raw Data'!$B$9:$CQ$9)</f>
        <v>4000</v>
      </c>
      <c r="I49" s="21" t="str">
        <f>IF(F49&lt;&gt;"",IF(F49&gt;Constants!$F$3,"Large",IF(F49&lt;=Constants!$E$3,"Small","Medium")),"")</f>
        <v>Small</v>
      </c>
      <c r="J49" s="21" t="str">
        <f>IF(H49&lt;&gt;"",IF(H49&gt;Constants!$F$3,"Large",IF(H49&lt;=Constants!$E$3,"Small","Medium")),"")</f>
        <v>Small</v>
      </c>
      <c r="K49" s="21" t="b">
        <f t="shared" si="2"/>
        <v>1</v>
      </c>
    </row>
    <row r="50" spans="1:11" x14ac:dyDescent="0.25">
      <c r="A50" s="108" t="s">
        <v>186</v>
      </c>
      <c r="B50" s="18"/>
      <c r="C50" s="19"/>
      <c r="D50" s="18">
        <v>85</v>
      </c>
      <c r="E50" s="18"/>
      <c r="F50" s="18">
        <v>9200</v>
      </c>
      <c r="G50" s="20"/>
      <c r="H50" s="18">
        <f>LOOKUP(A50,'Raw Data'!$B$1:$CQ$1,'Raw Data'!$B$9:$CQ$9)</f>
        <v>9200</v>
      </c>
      <c r="I50" s="21" t="str">
        <f>IF(F50&lt;&gt;"",IF(F50&gt;Constants!$F$3,"Large",IF(F50&lt;=Constants!$E$3,"Small","Medium")),"")</f>
        <v>Medium</v>
      </c>
      <c r="J50" s="21" t="str">
        <f>IF(H50&lt;&gt;"",IF(H50&gt;Constants!$F$3,"Large",IF(H50&lt;=Constants!$E$3,"Small","Medium")),"")</f>
        <v>Medium</v>
      </c>
      <c r="K50" s="21" t="b">
        <f t="shared" si="2"/>
        <v>1</v>
      </c>
    </row>
    <row r="51" spans="1:11" x14ac:dyDescent="0.25">
      <c r="A51" s="17" t="s">
        <v>187</v>
      </c>
      <c r="B51" s="18"/>
      <c r="C51" s="19"/>
      <c r="D51" s="18">
        <v>35</v>
      </c>
      <c r="E51" s="18"/>
      <c r="F51" s="18">
        <v>380489</v>
      </c>
      <c r="G51" s="20"/>
      <c r="H51" s="18">
        <f>LOOKUP(A51,'Raw Data'!$B$1:$CQ$1,'Raw Data'!$B$9:$CQ$9)</f>
        <v>4500</v>
      </c>
      <c r="I51" s="21" t="str">
        <f>IF(F51&lt;&gt;"",IF(F51&gt;Constants!$F$3,"Large",IF(F51&lt;=Constants!$E$3,"Small","Medium")),"")</f>
        <v>Large</v>
      </c>
      <c r="J51" s="21" t="str">
        <f>IF(H51&lt;&gt;"",IF(H51&gt;Constants!$F$3,"Large",IF(H51&lt;=Constants!$E$3,"Small","Medium")),"")</f>
        <v>Small</v>
      </c>
      <c r="K51" s="21" t="b">
        <f t="shared" si="2"/>
        <v>0</v>
      </c>
    </row>
    <row r="52" spans="1:11" x14ac:dyDescent="0.25">
      <c r="A52" s="108" t="s">
        <v>188</v>
      </c>
      <c r="B52" s="18"/>
      <c r="C52" s="19"/>
      <c r="D52" s="18">
        <v>85</v>
      </c>
      <c r="E52" s="18"/>
      <c r="F52" s="18">
        <v>90981</v>
      </c>
      <c r="G52" s="20"/>
      <c r="H52" s="18">
        <f>LOOKUP(A52,'Raw Data'!$B$1:$CQ$1,'Raw Data'!$B$9:$CQ$9)</f>
        <v>12</v>
      </c>
      <c r="I52" s="21" t="str">
        <f>IF(F52&lt;&gt;"",IF(F52&gt;Constants!$F$3,"Large",IF(F52&lt;=Constants!$E$3,"Small","Medium")),"")</f>
        <v>Large</v>
      </c>
      <c r="J52" s="21" t="str">
        <f>IF(H52&lt;&gt;"",IF(H52&gt;Constants!$F$3,"Large",IF(H52&lt;=Constants!$E$3,"Small","Medium")),"")</f>
        <v>Small</v>
      </c>
      <c r="K52" s="21" t="b">
        <f t="shared" si="2"/>
        <v>0</v>
      </c>
    </row>
    <row r="53" spans="1:11" x14ac:dyDescent="0.25">
      <c r="A53" s="17" t="s">
        <v>189</v>
      </c>
      <c r="B53" s="18"/>
      <c r="C53" s="19"/>
      <c r="D53" s="18">
        <v>90</v>
      </c>
      <c r="E53" s="18"/>
      <c r="F53" s="18">
        <v>20000</v>
      </c>
      <c r="G53" s="20"/>
      <c r="H53" s="18">
        <f>LOOKUP(A53,'Raw Data'!$B$1:$CQ$1,'Raw Data'!$B$9:$CQ$9)</f>
        <v>22000</v>
      </c>
      <c r="I53" s="21" t="str">
        <f>IF(F53&lt;&gt;"",IF(F53&gt;Constants!$F$3,"Large",IF(F53&lt;=Constants!$E$3,"Small","Medium")),"")</f>
        <v>Medium</v>
      </c>
      <c r="J53" s="21" t="str">
        <f>IF(H53&lt;&gt;"",IF(H53&gt;Constants!$F$3,"Large",IF(H53&lt;=Constants!$E$3,"Small","Medium")),"")</f>
        <v>Medium</v>
      </c>
      <c r="K53" s="21" t="b">
        <f t="shared" si="2"/>
        <v>1</v>
      </c>
    </row>
    <row r="54" spans="1:11" x14ac:dyDescent="0.25">
      <c r="A54" s="108" t="s">
        <v>190</v>
      </c>
      <c r="B54" s="18"/>
      <c r="C54" s="19"/>
      <c r="D54" s="18">
        <v>35</v>
      </c>
      <c r="E54" s="18"/>
      <c r="F54" s="18">
        <v>447000</v>
      </c>
      <c r="G54" s="20"/>
      <c r="H54" s="18">
        <f>LOOKUP(A54,'Raw Data'!$B$1:$CQ$1,'Raw Data'!$B$9:$CQ$9)</f>
        <v>474000</v>
      </c>
      <c r="I54" s="21" t="str">
        <f>IF(F54&lt;&gt;"",IF(F54&gt;Constants!$F$3,"Large",IF(F54&lt;=Constants!$E$3,"Small","Medium")),"")</f>
        <v>Large</v>
      </c>
      <c r="J54" s="21" t="str">
        <f>IF(H54&lt;&gt;"",IF(H54&gt;Constants!$F$3,"Large",IF(H54&lt;=Constants!$E$3,"Small","Medium")),"")</f>
        <v>Large</v>
      </c>
      <c r="K54" s="21" t="b">
        <f t="shared" si="2"/>
        <v>1</v>
      </c>
    </row>
    <row r="55" spans="1:11" x14ac:dyDescent="0.25">
      <c r="A55" s="166" t="s">
        <v>191</v>
      </c>
      <c r="B55" s="110"/>
      <c r="C55" s="111"/>
      <c r="D55" s="110">
        <v>40</v>
      </c>
      <c r="E55" s="110"/>
      <c r="F55" s="110">
        <v>560092</v>
      </c>
      <c r="G55" s="112"/>
      <c r="H55" s="18">
        <f>LOOKUP(A55,'Raw Data'!$B$1:$CQ$1,'Raw Data'!$B$9:$CQ$9)</f>
        <v>50000</v>
      </c>
      <c r="I55" s="21" t="str">
        <f>IF(F55&lt;&gt;"",IF(F55&gt;Constants!$F$3,"Large",IF(F55&lt;=Constants!$E$3,"Small","Medium")),"")</f>
        <v>Large</v>
      </c>
      <c r="J55" s="21" t="str">
        <f>IF(H55&lt;&gt;"",IF(H55&gt;Constants!$F$3,"Large",IF(H55&lt;=Constants!$E$3,"Small","Medium")),"")</f>
        <v>Large</v>
      </c>
      <c r="K55" s="21" t="b">
        <f t="shared" si="2"/>
        <v>1</v>
      </c>
    </row>
    <row r="56" spans="1:11" x14ac:dyDescent="0.25">
      <c r="A56" s="108" t="s">
        <v>192</v>
      </c>
      <c r="B56" s="18"/>
      <c r="C56" s="19"/>
      <c r="D56" s="18">
        <v>15</v>
      </c>
      <c r="E56" s="18"/>
      <c r="F56" s="18" t="s">
        <v>15</v>
      </c>
      <c r="G56" s="20"/>
      <c r="H56" s="18">
        <f>LOOKUP(A56,'Raw Data'!$B$1:$CQ$1,'Raw Data'!$B$9:$CQ$9)</f>
        <v>0</v>
      </c>
      <c r="I56" s="21" t="str">
        <f>IF(F56&lt;&gt;"",IF(F56&gt;Constants!$F$3,"Large",IF(F56&lt;=Constants!$E$3,"Small","Medium")),"")</f>
        <v>Large</v>
      </c>
      <c r="J56" s="21" t="str">
        <f>IF(H56&lt;&gt;"",IF(H56&gt;Constants!$F$3,"Large",IF(H56&lt;=Constants!$E$3,"Small","Medium")),"")</f>
        <v>Small</v>
      </c>
      <c r="K56" s="21" t="b">
        <f t="shared" si="2"/>
        <v>0</v>
      </c>
    </row>
    <row r="57" spans="1:11" x14ac:dyDescent="0.25">
      <c r="A57" s="17" t="s">
        <v>193</v>
      </c>
      <c r="B57" s="18"/>
      <c r="C57" s="19"/>
      <c r="D57" s="18">
        <v>25</v>
      </c>
      <c r="E57" s="18"/>
      <c r="F57" s="18">
        <v>7000</v>
      </c>
      <c r="G57" s="20"/>
      <c r="H57" s="18">
        <f>LOOKUP(A57,'Raw Data'!$B$1:$CQ$1,'Raw Data'!$B$9:$CQ$9)</f>
        <v>400</v>
      </c>
      <c r="I57" s="21" t="str">
        <f>IF(F57&lt;&gt;"",IF(F57&gt;Constants!$F$3,"Large",IF(F57&lt;=Constants!$E$3,"Small","Medium")),"")</f>
        <v>Medium</v>
      </c>
      <c r="J57" s="21" t="str">
        <f>IF(H57&lt;&gt;"",IF(H57&gt;Constants!$F$3,"Large",IF(H57&lt;=Constants!$E$3,"Small","Medium")),"")</f>
        <v>Small</v>
      </c>
      <c r="K57" s="21" t="b">
        <f t="shared" si="2"/>
        <v>0</v>
      </c>
    </row>
    <row r="58" spans="1:11" x14ac:dyDescent="0.25">
      <c r="A58" s="166" t="s">
        <v>194</v>
      </c>
      <c r="B58" s="110"/>
      <c r="C58" s="111"/>
      <c r="D58" s="110">
        <v>40</v>
      </c>
      <c r="E58" s="110"/>
      <c r="F58" s="110">
        <v>560092</v>
      </c>
      <c r="G58" s="112"/>
      <c r="H58" s="18">
        <f>LOOKUP(A58,'Raw Data'!$B$1:$CQ$1,'Raw Data'!$B$9:$CQ$9)</f>
        <v>50000</v>
      </c>
      <c r="I58" s="21" t="str">
        <f>IF(F58&lt;&gt;"",IF(F58&gt;Constants!$F$3,"Large",IF(F58&lt;=Constants!$E$3,"Small","Medium")),"")</f>
        <v>Large</v>
      </c>
      <c r="J58" s="21" t="str">
        <f>IF(H58&lt;&gt;"",IF(H58&gt;Constants!$F$3,"Large",IF(H58&lt;=Constants!$E$3,"Small","Medium")),"")</f>
        <v>Large</v>
      </c>
      <c r="K58" s="21" t="b">
        <f t="shared" si="2"/>
        <v>1</v>
      </c>
    </row>
    <row r="59" spans="1:11" x14ac:dyDescent="0.25">
      <c r="A59" s="166" t="s">
        <v>195</v>
      </c>
      <c r="B59" s="110"/>
      <c r="C59" s="111"/>
      <c r="D59" s="110">
        <v>40</v>
      </c>
      <c r="E59" s="110"/>
      <c r="F59" s="110">
        <v>560092</v>
      </c>
      <c r="G59" s="112"/>
      <c r="H59" s="18">
        <f>LOOKUP(A59,'Raw Data'!$B$1:$CQ$1,'Raw Data'!$B$9:$CQ$9)</f>
        <v>50000</v>
      </c>
      <c r="I59" s="21" t="str">
        <f>IF(F59&lt;&gt;"",IF(F59&gt;Constants!$F$3,"Large",IF(F59&lt;=Constants!$E$3,"Small","Medium")),"")</f>
        <v>Large</v>
      </c>
      <c r="J59" s="21" t="str">
        <f>IF(H59&lt;&gt;"",IF(H59&gt;Constants!$F$3,"Large",IF(H59&lt;=Constants!$E$3,"Small","Medium")),"")</f>
        <v>Large</v>
      </c>
      <c r="K59" s="21" t="b">
        <f t="shared" si="2"/>
        <v>1</v>
      </c>
    </row>
    <row r="60" spans="1:11" x14ac:dyDescent="0.25">
      <c r="A60" s="166" t="s">
        <v>196</v>
      </c>
      <c r="B60" s="110"/>
      <c r="C60" s="111"/>
      <c r="D60" s="110">
        <v>15</v>
      </c>
      <c r="E60" s="110"/>
      <c r="F60" s="110">
        <v>830938</v>
      </c>
      <c r="G60" s="112"/>
      <c r="H60" s="18">
        <f>LOOKUP(A60,'Raw Data'!$B$1:$CQ$1,'Raw Data'!$B$9:$CQ$9)</f>
        <v>750000</v>
      </c>
      <c r="I60" s="21" t="str">
        <f>IF(F60&lt;&gt;"",IF(F60&gt;Constants!$F$3,"Large",IF(F60&lt;=Constants!$E$3,"Small","Medium")),"")</f>
        <v>Large</v>
      </c>
      <c r="J60" s="21" t="str">
        <f>IF(H60&lt;&gt;"",IF(H60&gt;Constants!$F$3,"Large",IF(H60&lt;=Constants!$E$3,"Small","Medium")),"")</f>
        <v>Large</v>
      </c>
      <c r="K60" s="21" t="b">
        <f t="shared" si="2"/>
        <v>1</v>
      </c>
    </row>
    <row r="61" spans="1:11" x14ac:dyDescent="0.25">
      <c r="A61" s="166" t="s">
        <v>197</v>
      </c>
      <c r="B61" s="110"/>
      <c r="C61" s="111"/>
      <c r="D61" s="110">
        <v>15</v>
      </c>
      <c r="E61" s="110"/>
      <c r="F61" s="110">
        <v>830938</v>
      </c>
      <c r="G61" s="112"/>
      <c r="H61" s="18">
        <f>LOOKUP(A61,'Raw Data'!$B$1:$CQ$1,'Raw Data'!$B$9:$CQ$9)</f>
        <v>750000</v>
      </c>
      <c r="I61" s="21" t="str">
        <f>IF(F61&lt;&gt;"",IF(F61&gt;Constants!$F$3,"Large",IF(F61&lt;=Constants!$E$3,"Small","Medium")),"")</f>
        <v>Large</v>
      </c>
      <c r="J61" s="21" t="str">
        <f>IF(H61&lt;&gt;"",IF(H61&gt;Constants!$F$3,"Large",IF(H61&lt;=Constants!$E$3,"Small","Medium")),"")</f>
        <v>Large</v>
      </c>
      <c r="K61" s="21" t="b">
        <f t="shared" si="2"/>
        <v>1</v>
      </c>
    </row>
    <row r="62" spans="1:11" x14ac:dyDescent="0.25">
      <c r="A62" s="108" t="s">
        <v>198</v>
      </c>
      <c r="B62" s="18"/>
      <c r="C62" s="19"/>
      <c r="D62" s="18">
        <v>15</v>
      </c>
      <c r="E62" s="18"/>
      <c r="F62" s="18">
        <v>4900</v>
      </c>
      <c r="G62" s="20"/>
      <c r="H62" s="18">
        <f>LOOKUP(A62,'Raw Data'!$B$1:$CQ$1,'Raw Data'!$B$9:$CQ$9)</f>
        <v>4900</v>
      </c>
      <c r="I62" s="21" t="str">
        <f>IF(F62&lt;&gt;"",IF(F62&gt;Constants!$F$3,"Large",IF(F62&lt;=Constants!$E$3,"Small","Medium")),"")</f>
        <v>Small</v>
      </c>
      <c r="J62" s="21" t="str">
        <f>IF(H62&lt;&gt;"",IF(H62&gt;Constants!$F$3,"Large",IF(H62&lt;=Constants!$E$3,"Small","Medium")),"")</f>
        <v>Small</v>
      </c>
      <c r="K62" s="21" t="b">
        <f t="shared" si="2"/>
        <v>1</v>
      </c>
    </row>
    <row r="63" spans="1:11" x14ac:dyDescent="0.25">
      <c r="A63" s="108" t="s">
        <v>199</v>
      </c>
      <c r="B63" s="18"/>
      <c r="C63" s="19"/>
      <c r="D63" s="18">
        <v>15</v>
      </c>
      <c r="E63" s="18"/>
      <c r="F63" s="18">
        <v>6050</v>
      </c>
      <c r="G63" s="20"/>
      <c r="H63" s="18">
        <f>LOOKUP(A63,'Raw Data'!$B$1:$CQ$1,'Raw Data'!$B$9:$CQ$9)</f>
        <v>600</v>
      </c>
      <c r="I63" s="21" t="str">
        <f>IF(F63&lt;&gt;"",IF(F63&gt;Constants!$F$3,"Large",IF(F63&lt;=Constants!$E$3,"Small","Medium")),"")</f>
        <v>Medium</v>
      </c>
      <c r="J63" s="21" t="str">
        <f>IF(H63&lt;&gt;"",IF(H63&gt;Constants!$F$3,"Large",IF(H63&lt;=Constants!$E$3,"Small","Medium")),"")</f>
        <v>Small</v>
      </c>
      <c r="K63" s="21" t="b">
        <f t="shared" si="2"/>
        <v>0</v>
      </c>
    </row>
    <row r="64" spans="1:11" x14ac:dyDescent="0.25">
      <c r="A64" s="17" t="s">
        <v>200</v>
      </c>
      <c r="B64" s="18"/>
      <c r="C64" s="19"/>
      <c r="D64" s="18">
        <v>15</v>
      </c>
      <c r="E64" s="18"/>
      <c r="F64" s="18">
        <v>5200</v>
      </c>
      <c r="G64" s="20"/>
      <c r="H64" s="18">
        <f>LOOKUP(A64,'Raw Data'!$B$1:$CQ$1,'Raw Data'!$B$9:$CQ$9)</f>
        <v>5200</v>
      </c>
      <c r="I64" s="21" t="str">
        <f>IF(F64&lt;&gt;"",IF(F64&gt;Constants!$F$3,"Large",IF(F64&lt;=Constants!$E$3,"Small","Medium")),"")</f>
        <v>Medium</v>
      </c>
      <c r="J64" s="21" t="str">
        <f>IF(H64&lt;&gt;"",IF(H64&gt;Constants!$F$3,"Large",IF(H64&lt;=Constants!$E$3,"Small","Medium")),"")</f>
        <v>Medium</v>
      </c>
      <c r="K64" s="21" t="b">
        <f t="shared" si="2"/>
        <v>1</v>
      </c>
    </row>
    <row r="65" spans="1:11" x14ac:dyDescent="0.25">
      <c r="A65" s="17" t="s">
        <v>201</v>
      </c>
      <c r="B65" s="18"/>
      <c r="C65" s="19"/>
      <c r="D65" s="18">
        <v>35</v>
      </c>
      <c r="E65" s="18"/>
      <c r="F65" s="18">
        <v>2750</v>
      </c>
      <c r="G65" s="20"/>
      <c r="H65" s="18">
        <f>LOOKUP(A65,'Raw Data'!$B$1:$CQ$1,'Raw Data'!$B$9:$CQ$9)</f>
        <v>2750</v>
      </c>
      <c r="I65" s="21" t="str">
        <f>IF(F65&lt;&gt;"",IF(F65&gt;Constants!$F$3,"Large",IF(F65&lt;=Constants!$E$3,"Small","Medium")),"")</f>
        <v>Small</v>
      </c>
      <c r="J65" s="21" t="str">
        <f>IF(H65&lt;&gt;"",IF(H65&gt;Constants!$F$3,"Large",IF(H65&lt;=Constants!$E$3,"Small","Medium")),"")</f>
        <v>Small</v>
      </c>
      <c r="K65" s="21" t="b">
        <f t="shared" si="2"/>
        <v>1</v>
      </c>
    </row>
    <row r="66" spans="1:11" x14ac:dyDescent="0.25">
      <c r="A66" s="108" t="s">
        <v>202</v>
      </c>
      <c r="B66" s="18"/>
      <c r="C66" s="19"/>
      <c r="D66" s="18">
        <v>60</v>
      </c>
      <c r="E66" s="18"/>
      <c r="F66" s="18">
        <v>3000</v>
      </c>
      <c r="G66" s="20"/>
      <c r="H66" s="18">
        <f>LOOKUP(A66,'Raw Data'!$B$1:$CQ$1,'Raw Data'!$B$9:$CQ$9)</f>
        <v>3000</v>
      </c>
      <c r="I66" s="21" t="str">
        <f>IF(F66&lt;&gt;"",IF(F66&gt;Constants!$F$3,"Large",IF(F66&lt;=Constants!$E$3,"Small","Medium")),"")</f>
        <v>Small</v>
      </c>
      <c r="J66" s="21" t="str">
        <f>IF(H66&lt;&gt;"",IF(H66&gt;Constants!$F$3,"Large",IF(H66&lt;=Constants!$E$3,"Small","Medium")),"")</f>
        <v>Small</v>
      </c>
      <c r="K66" s="21" t="b">
        <f t="shared" ref="K66:K97" si="3">J66=I66</f>
        <v>1</v>
      </c>
    </row>
    <row r="67" spans="1:11" x14ac:dyDescent="0.25">
      <c r="A67" s="108" t="s">
        <v>203</v>
      </c>
      <c r="B67" s="18"/>
      <c r="C67" s="19"/>
      <c r="D67" s="18">
        <v>15</v>
      </c>
      <c r="E67" s="18"/>
      <c r="F67" s="18">
        <v>3876</v>
      </c>
      <c r="G67" s="20"/>
      <c r="H67" s="18">
        <f>LOOKUP(A67,'Raw Data'!$B$1:$CQ$1,'Raw Data'!$B$9:$CQ$9)</f>
        <v>3375</v>
      </c>
      <c r="I67" s="21" t="str">
        <f>IF(F67&lt;&gt;"",IF(F67&gt;Constants!$F$3,"Large",IF(F67&lt;=Constants!$E$3,"Small","Medium")),"")</f>
        <v>Small</v>
      </c>
      <c r="J67" s="21" t="str">
        <f>IF(H67&lt;&gt;"",IF(H67&gt;Constants!$F$3,"Large",IF(H67&lt;=Constants!$E$3,"Small","Medium")),"")</f>
        <v>Small</v>
      </c>
      <c r="K67" s="21" t="b">
        <f t="shared" si="3"/>
        <v>1</v>
      </c>
    </row>
    <row r="68" spans="1:11" x14ac:dyDescent="0.25">
      <c r="A68" s="17" t="s">
        <v>204</v>
      </c>
      <c r="B68" s="18"/>
      <c r="C68" s="19"/>
      <c r="D68" s="18">
        <v>15</v>
      </c>
      <c r="E68" s="18"/>
      <c r="F68" s="18">
        <v>117000</v>
      </c>
      <c r="G68" s="20"/>
      <c r="H68" s="18">
        <f>LOOKUP(A68,'Raw Data'!$B$1:$CQ$1,'Raw Data'!$B$9:$CQ$9)</f>
        <v>0</v>
      </c>
      <c r="I68" s="21" t="str">
        <f>IF(F68&lt;&gt;"",IF(F68&gt;Constants!$F$3,"Large",IF(F68&lt;=Constants!$E$3,"Small","Medium")),"")</f>
        <v>Large</v>
      </c>
      <c r="J68" s="21" t="str">
        <f>IF(H68&lt;&gt;"",IF(H68&gt;Constants!$F$3,"Large",IF(H68&lt;=Constants!$E$3,"Small","Medium")),"")</f>
        <v>Small</v>
      </c>
      <c r="K68" s="21" t="b">
        <f t="shared" si="3"/>
        <v>0</v>
      </c>
    </row>
    <row r="69" spans="1:11" x14ac:dyDescent="0.25">
      <c r="A69" s="108" t="s">
        <v>205</v>
      </c>
      <c r="B69" s="18"/>
      <c r="C69" s="19"/>
      <c r="D69" s="18">
        <v>15</v>
      </c>
      <c r="E69" s="18"/>
      <c r="F69" s="18">
        <v>12220</v>
      </c>
      <c r="G69" s="20"/>
      <c r="H69" s="18">
        <f>LOOKUP(A69,'Raw Data'!$B$1:$CQ$1,'Raw Data'!$B$9:$CQ$9)</f>
        <v>0</v>
      </c>
      <c r="I69" s="21" t="str">
        <f>IF(F69&lt;&gt;"",IF(F69&gt;Constants!$F$3,"Large",IF(F69&lt;=Constants!$E$3,"Small","Medium")),"")</f>
        <v>Medium</v>
      </c>
      <c r="J69" s="21" t="str">
        <f>IF(H69&lt;&gt;"",IF(H69&gt;Constants!$F$3,"Large",IF(H69&lt;=Constants!$E$3,"Small","Medium")),"")</f>
        <v>Small</v>
      </c>
      <c r="K69" s="21" t="b">
        <f t="shared" si="3"/>
        <v>0</v>
      </c>
    </row>
    <row r="70" spans="1:11" x14ac:dyDescent="0.25">
      <c r="A70" s="108" t="s">
        <v>206</v>
      </c>
      <c r="B70" s="18"/>
      <c r="C70" s="19"/>
      <c r="D70" s="18">
        <v>60</v>
      </c>
      <c r="E70" s="18"/>
      <c r="F70" s="18">
        <v>4800</v>
      </c>
      <c r="G70" s="20"/>
      <c r="H70" s="18">
        <f>LOOKUP(A70,'Raw Data'!$B$1:$CQ$1,'Raw Data'!$B$9:$CQ$9)</f>
        <v>4800</v>
      </c>
      <c r="I70" s="21" t="str">
        <f>IF(F70&lt;&gt;"",IF(F70&gt;Constants!$F$3,"Large",IF(F70&lt;=Constants!$E$3,"Small","Medium")),"")</f>
        <v>Small</v>
      </c>
      <c r="J70" s="21" t="str">
        <f>IF(H70&lt;&gt;"",IF(H70&gt;Constants!$F$3,"Large",IF(H70&lt;=Constants!$E$3,"Small","Medium")),"")</f>
        <v>Small</v>
      </c>
      <c r="K70" s="21" t="b">
        <f t="shared" si="3"/>
        <v>1</v>
      </c>
    </row>
    <row r="71" spans="1:11" x14ac:dyDescent="0.25">
      <c r="A71" s="108" t="s">
        <v>207</v>
      </c>
      <c r="B71" s="18"/>
      <c r="C71" s="19"/>
      <c r="D71" s="18">
        <v>15</v>
      </c>
      <c r="E71" s="18"/>
      <c r="F71" s="18">
        <v>8000</v>
      </c>
      <c r="G71" s="20"/>
      <c r="H71" s="18">
        <f>LOOKUP(A71,'Raw Data'!$B$1:$CQ$1,'Raw Data'!$B$9:$CQ$9)</f>
        <v>8000</v>
      </c>
      <c r="I71" s="21" t="str">
        <f>IF(F71&lt;&gt;"",IF(F71&gt;Constants!$F$3,"Large",IF(F71&lt;=Constants!$E$3,"Small","Medium")),"")</f>
        <v>Medium</v>
      </c>
      <c r="J71" s="21" t="str">
        <f>IF(H71&lt;&gt;"",IF(H71&gt;Constants!$F$3,"Large",IF(H71&lt;=Constants!$E$3,"Small","Medium")),"")</f>
        <v>Medium</v>
      </c>
      <c r="K71" s="21" t="b">
        <f t="shared" si="3"/>
        <v>1</v>
      </c>
    </row>
    <row r="72" spans="1:11" x14ac:dyDescent="0.25">
      <c r="A72" s="108" t="s">
        <v>208</v>
      </c>
      <c r="B72" s="18"/>
      <c r="C72" s="19"/>
      <c r="D72" s="18">
        <v>40</v>
      </c>
      <c r="E72" s="18"/>
      <c r="F72" s="18">
        <v>928300</v>
      </c>
      <c r="G72" s="20"/>
      <c r="H72" s="18">
        <f>LOOKUP(A72,'Raw Data'!$B$1:$CQ$1,'Raw Data'!$B$9:$CQ$9)</f>
        <v>0</v>
      </c>
      <c r="I72" s="21" t="str">
        <f>IF(F72&lt;&gt;"",IF(F72&gt;Constants!$F$3,"Large",IF(F72&lt;=Constants!$E$3,"Small","Medium")),"")</f>
        <v>Large</v>
      </c>
      <c r="J72" s="21" t="str">
        <f>IF(H72&lt;&gt;"",IF(H72&gt;Constants!$F$3,"Large",IF(H72&lt;=Constants!$E$3,"Small","Medium")),"")</f>
        <v>Small</v>
      </c>
      <c r="K72" s="21" t="b">
        <f t="shared" si="3"/>
        <v>0</v>
      </c>
    </row>
    <row r="73" spans="1:11" x14ac:dyDescent="0.25">
      <c r="A73" s="108" t="s">
        <v>209</v>
      </c>
      <c r="B73" s="18"/>
      <c r="C73" s="19"/>
      <c r="D73" s="18">
        <v>35</v>
      </c>
      <c r="E73" s="18"/>
      <c r="F73" s="18">
        <v>825000</v>
      </c>
      <c r="G73" s="20"/>
      <c r="H73" s="18">
        <f>LOOKUP(A73,'Raw Data'!$B$1:$CQ$1,'Raw Data'!$B$9:$CQ$9)</f>
        <v>825000</v>
      </c>
      <c r="I73" s="21" t="str">
        <f>IF(F73&lt;&gt;"",IF(F73&gt;Constants!$F$3,"Large",IF(F73&lt;=Constants!$E$3,"Small","Medium")),"")</f>
        <v>Large</v>
      </c>
      <c r="J73" s="21" t="str">
        <f>IF(H73&lt;&gt;"",IF(H73&gt;Constants!$F$3,"Large",IF(H73&lt;=Constants!$E$3,"Small","Medium")),"")</f>
        <v>Large</v>
      </c>
      <c r="K73" s="21" t="b">
        <f t="shared" si="3"/>
        <v>1</v>
      </c>
    </row>
    <row r="74" spans="1:11" x14ac:dyDescent="0.25">
      <c r="A74" s="108" t="s">
        <v>216</v>
      </c>
      <c r="B74" s="18"/>
      <c r="C74" s="19"/>
      <c r="D74" s="18">
        <v>15</v>
      </c>
      <c r="E74" s="18"/>
      <c r="F74" s="18">
        <v>1380</v>
      </c>
      <c r="G74" s="20"/>
      <c r="H74" s="18">
        <f>LOOKUP(A74,'Raw Data'!$B$1:$CQ$1,'Raw Data'!$B$9:$CQ$9)</f>
        <v>800</v>
      </c>
      <c r="I74" s="21" t="str">
        <f>IF(F74&lt;&gt;"",IF(F74&gt;Constants!$F$3,"Large",IF(F74&lt;=Constants!$E$3,"Small","Medium")),"")</f>
        <v>Small</v>
      </c>
      <c r="J74" s="21" t="str">
        <f>IF(H74&lt;&gt;"",IF(H74&gt;Constants!$F$3,"Large",IF(H74&lt;=Constants!$E$3,"Small","Medium")),"")</f>
        <v>Small</v>
      </c>
      <c r="K74" s="21" t="b">
        <f t="shared" si="3"/>
        <v>1</v>
      </c>
    </row>
    <row r="75" spans="1:11" x14ac:dyDescent="0.25">
      <c r="A75" s="17" t="s">
        <v>217</v>
      </c>
      <c r="B75" s="18"/>
      <c r="C75" s="19"/>
      <c r="D75" s="18">
        <v>80</v>
      </c>
      <c r="E75" s="18"/>
      <c r="F75" s="18">
        <v>25792</v>
      </c>
      <c r="G75" s="20"/>
      <c r="H75" s="18">
        <f>LOOKUP(A75,'Raw Data'!$B$1:$CQ$1,'Raw Data'!$B$9:$CQ$9)</f>
        <v>960</v>
      </c>
      <c r="I75" s="21" t="str">
        <f>IF(F75&lt;&gt;"",IF(F75&gt;Constants!$F$3,"Large",IF(F75&lt;=Constants!$E$3,"Small","Medium")),"")</f>
        <v>Medium</v>
      </c>
      <c r="J75" s="21" t="str">
        <f>IF(H75&lt;&gt;"",IF(H75&gt;Constants!$F$3,"Large",IF(H75&lt;=Constants!$E$3,"Small","Medium")),"")</f>
        <v>Small</v>
      </c>
      <c r="K75" s="21" t="b">
        <f t="shared" si="3"/>
        <v>0</v>
      </c>
    </row>
    <row r="76" spans="1:11" x14ac:dyDescent="0.25">
      <c r="A76" s="17" t="s">
        <v>218</v>
      </c>
      <c r="B76" s="18"/>
      <c r="C76" s="19"/>
      <c r="D76" s="18">
        <v>25</v>
      </c>
      <c r="E76" s="18"/>
      <c r="F76" s="18" t="s">
        <v>15</v>
      </c>
      <c r="G76" s="20"/>
      <c r="H76" s="18">
        <f>LOOKUP(A76,'Raw Data'!$B$1:$CQ$1,'Raw Data'!$B$9:$CQ$9)</f>
        <v>0</v>
      </c>
      <c r="I76" s="21" t="str">
        <f>IF(F76&lt;&gt;"",IF(F76&gt;Constants!$F$3,"Large",IF(F76&lt;=Constants!$E$3,"Small","Medium")),"")</f>
        <v>Large</v>
      </c>
      <c r="J76" s="21" t="str">
        <f>IF(H76&lt;&gt;"",IF(H76&gt;Constants!$F$3,"Large",IF(H76&lt;=Constants!$E$3,"Small","Medium")),"")</f>
        <v>Small</v>
      </c>
      <c r="K76" s="21" t="b">
        <f t="shared" si="3"/>
        <v>0</v>
      </c>
    </row>
    <row r="77" spans="1:11" x14ac:dyDescent="0.25">
      <c r="A77" s="17" t="s">
        <v>219</v>
      </c>
      <c r="B77" s="18"/>
      <c r="C77" s="19"/>
      <c r="D77" s="18">
        <v>5</v>
      </c>
      <c r="E77" s="18"/>
      <c r="F77" s="18">
        <v>320964</v>
      </c>
      <c r="G77" s="20"/>
      <c r="H77" s="18">
        <f>LOOKUP(A77,'Raw Data'!$B$1:$CQ$1,'Raw Data'!$B$9:$CQ$9)</f>
        <v>320964</v>
      </c>
      <c r="I77" s="21" t="str">
        <f>IF(F77&lt;&gt;"",IF(F77&gt;Constants!$F$3,"Large",IF(F77&lt;=Constants!$E$3,"Small","Medium")),"")</f>
        <v>Large</v>
      </c>
      <c r="J77" s="21" t="str">
        <f>IF(H77&lt;&gt;"",IF(H77&gt;Constants!$F$3,"Large",IF(H77&lt;=Constants!$E$3,"Small","Medium")),"")</f>
        <v>Large</v>
      </c>
      <c r="K77" s="21" t="b">
        <f t="shared" si="3"/>
        <v>1</v>
      </c>
    </row>
    <row r="78" spans="1:11" x14ac:dyDescent="0.25">
      <c r="A78" s="17" t="s">
        <v>289</v>
      </c>
      <c r="B78" s="18"/>
      <c r="C78" s="19"/>
      <c r="D78" s="18">
        <v>50</v>
      </c>
      <c r="E78" s="18"/>
      <c r="F78" s="18">
        <v>6200</v>
      </c>
      <c r="G78" s="20"/>
      <c r="H78" s="18">
        <f>LOOKUP(A78,'Raw Data'!$B$1:$CQ$1,'Raw Data'!$B$9:$CQ$9)</f>
        <v>10520</v>
      </c>
      <c r="I78" s="21" t="str">
        <f>IF(F78&lt;&gt;"",IF(F78&gt;Constants!$F$3,"Large",IF(F78&lt;=Constants!$E$3,"Small","Medium")),"")</f>
        <v>Medium</v>
      </c>
      <c r="J78" s="21" t="str">
        <f>IF(H78&lt;&gt;"",IF(H78&gt;Constants!$F$3,"Large",IF(H78&lt;=Constants!$E$3,"Small","Medium")),"")</f>
        <v>Medium</v>
      </c>
      <c r="K78" s="21" t="b">
        <f t="shared" si="3"/>
        <v>1</v>
      </c>
    </row>
    <row r="79" spans="1:11" x14ac:dyDescent="0.25">
      <c r="A79" s="172" t="s">
        <v>290</v>
      </c>
      <c r="B79" s="110"/>
      <c r="C79" s="111"/>
      <c r="D79" s="110">
        <v>15</v>
      </c>
      <c r="E79" s="110"/>
      <c r="F79" s="110">
        <v>15000</v>
      </c>
      <c r="G79" s="112"/>
      <c r="H79" s="110">
        <f>LOOKUP(A79,'Raw Data'!$B$1:$CQ$1,'Raw Data'!$B$9:$CQ$9)</f>
        <v>15000</v>
      </c>
      <c r="I79" s="21" t="str">
        <f>IF(F79&lt;&gt;"",IF(F79&gt;Constants!$F$3,"Large",IF(F79&lt;=Constants!$E$3,"Small","Medium")),"")</f>
        <v>Medium</v>
      </c>
      <c r="J79" s="21" t="str">
        <f>IF(H79&lt;&gt;"",IF(H79&gt;Constants!$F$3,"Large",IF(H79&lt;=Constants!$E$3,"Small","Medium")),"")</f>
        <v>Medium</v>
      </c>
      <c r="K79" s="21" t="b">
        <f t="shared" si="3"/>
        <v>1</v>
      </c>
    </row>
    <row r="80" spans="1:11" x14ac:dyDescent="0.25">
      <c r="A80" s="17" t="s">
        <v>291</v>
      </c>
      <c r="B80" s="18"/>
      <c r="C80" s="19"/>
      <c r="D80" s="18">
        <v>15</v>
      </c>
      <c r="E80" s="18"/>
      <c r="F80" s="18">
        <v>8860</v>
      </c>
      <c r="G80" s="20"/>
      <c r="H80" s="18">
        <f>LOOKUP(A80,'Raw Data'!$B$1:$CQ$1,'Raw Data'!$B$9:$CQ$9)</f>
        <v>8860</v>
      </c>
      <c r="I80" s="21" t="str">
        <f>IF(F80&lt;&gt;"",IF(F80&gt;Constants!$F$3,"Large",IF(F80&lt;=Constants!$E$3,"Small","Medium")),"")</f>
        <v>Medium</v>
      </c>
      <c r="J80" s="21" t="str">
        <f>IF(H80&lt;&gt;"",IF(H80&gt;Constants!$F$3,"Large",IF(H80&lt;=Constants!$E$3,"Small","Medium")),"")</f>
        <v>Medium</v>
      </c>
      <c r="K80" s="21" t="b">
        <f t="shared" si="3"/>
        <v>1</v>
      </c>
    </row>
    <row r="81" spans="1:11" x14ac:dyDescent="0.25">
      <c r="A81" s="108" t="s">
        <v>292</v>
      </c>
      <c r="B81" s="18"/>
      <c r="C81" s="19"/>
      <c r="D81" s="18">
        <v>15</v>
      </c>
      <c r="E81" s="18"/>
      <c r="F81" s="18">
        <v>7021</v>
      </c>
      <c r="G81" s="20"/>
      <c r="H81" s="18">
        <f>LOOKUP(A81,'Raw Data'!$B$1:$CQ$1,'Raw Data'!$B$9:$CQ$9)</f>
        <v>7021</v>
      </c>
      <c r="I81" s="21" t="str">
        <f>IF(F81&lt;&gt;"",IF(F81&gt;Constants!$F$3,"Large",IF(F81&lt;=Constants!$E$3,"Small","Medium")),"")</f>
        <v>Medium</v>
      </c>
      <c r="J81" s="21" t="str">
        <f>IF(H81&lt;&gt;"",IF(H81&gt;Constants!$F$3,"Large",IF(H81&lt;=Constants!$E$3,"Small","Medium")),"")</f>
        <v>Medium</v>
      </c>
      <c r="K81" s="21" t="b">
        <f t="shared" si="3"/>
        <v>1</v>
      </c>
    </row>
    <row r="82" spans="1:11" x14ac:dyDescent="0.25">
      <c r="A82" s="108" t="s">
        <v>293</v>
      </c>
      <c r="B82" s="18"/>
      <c r="C82" s="19"/>
      <c r="D82" s="18">
        <v>60</v>
      </c>
      <c r="E82" s="18"/>
      <c r="F82" s="18">
        <v>40000</v>
      </c>
      <c r="G82" s="20"/>
      <c r="H82" s="18">
        <f>LOOKUP(A82,'Raw Data'!$B$1:$CQ$1,'Raw Data'!$B$9:$CQ$9)</f>
        <v>40000</v>
      </c>
      <c r="I82" s="21" t="str">
        <f>IF(F82&lt;&gt;"",IF(F82&gt;Constants!$F$3,"Large",IF(F82&lt;=Constants!$E$3,"Small","Medium")),"")</f>
        <v>Large</v>
      </c>
      <c r="J82" s="21" t="str">
        <f>IF(H82&lt;&gt;"",IF(H82&gt;Constants!$F$3,"Large",IF(H82&lt;=Constants!$E$3,"Small","Medium")),"")</f>
        <v>Large</v>
      </c>
      <c r="K82" s="21" t="b">
        <f t="shared" si="3"/>
        <v>1</v>
      </c>
    </row>
    <row r="83" spans="1:11" x14ac:dyDescent="0.25">
      <c r="A83" s="17" t="s">
        <v>294</v>
      </c>
      <c r="B83" s="18"/>
      <c r="C83" s="19"/>
      <c r="D83" s="18">
        <v>15</v>
      </c>
      <c r="E83" s="18"/>
      <c r="F83" s="18">
        <v>5000</v>
      </c>
      <c r="G83" s="20"/>
      <c r="H83" s="18">
        <f>LOOKUP(A83,'Raw Data'!$B$1:$CQ$1,'Raw Data'!$B$9:$CQ$9)</f>
        <v>5000</v>
      </c>
      <c r="I83" s="21" t="str">
        <f>IF(F83&lt;&gt;"",IF(F83&gt;Constants!$F$3,"Large",IF(F83&lt;=Constants!$E$3,"Small","Medium")),"")</f>
        <v>Small</v>
      </c>
      <c r="J83" s="21" t="str">
        <f>IF(H83&lt;&gt;"",IF(H83&gt;Constants!$F$3,"Large",IF(H83&lt;=Constants!$E$3,"Small","Medium")),"")</f>
        <v>Small</v>
      </c>
      <c r="K83" s="21" t="b">
        <f t="shared" si="3"/>
        <v>1</v>
      </c>
    </row>
    <row r="84" spans="1:11" x14ac:dyDescent="0.25">
      <c r="A84" s="108" t="s">
        <v>295</v>
      </c>
      <c r="B84" s="18"/>
      <c r="C84" s="19"/>
      <c r="D84" s="18">
        <v>15</v>
      </c>
      <c r="E84" s="18"/>
      <c r="F84" s="18">
        <v>3000</v>
      </c>
      <c r="G84" s="20"/>
      <c r="H84" s="18">
        <f>LOOKUP(A84,'Raw Data'!$B$1:$CQ$1,'Raw Data'!$B$9:$CQ$9)</f>
        <v>3000</v>
      </c>
      <c r="I84" s="21" t="str">
        <f>IF(F84&lt;&gt;"",IF(F84&gt;Constants!$F$3,"Large",IF(F84&lt;=Constants!$E$3,"Small","Medium")),"")</f>
        <v>Small</v>
      </c>
      <c r="J84" s="21" t="str">
        <f>IF(H84&lt;&gt;"",IF(H84&gt;Constants!$F$3,"Large",IF(H84&lt;=Constants!$E$3,"Small","Medium")),"")</f>
        <v>Small</v>
      </c>
      <c r="K84" s="21" t="b">
        <f t="shared" si="3"/>
        <v>1</v>
      </c>
    </row>
    <row r="85" spans="1:11" x14ac:dyDescent="0.25">
      <c r="A85" s="172" t="s">
        <v>296</v>
      </c>
      <c r="B85" s="110"/>
      <c r="C85" s="111"/>
      <c r="D85" s="110">
        <v>15</v>
      </c>
      <c r="E85" s="110"/>
      <c r="F85" s="110">
        <v>15000</v>
      </c>
      <c r="G85" s="112"/>
      <c r="H85" s="110">
        <f>LOOKUP(A85,'Raw Data'!$B$1:$CQ$1,'Raw Data'!$B$9:$CQ$9)</f>
        <v>15000</v>
      </c>
      <c r="I85" s="21" t="str">
        <f>IF(F85&lt;&gt;"",IF(F85&gt;Constants!$F$3,"Large",IF(F85&lt;=Constants!$E$3,"Small","Medium")),"")</f>
        <v>Medium</v>
      </c>
      <c r="J85" s="21" t="str">
        <f>IF(H85&lt;&gt;"",IF(H85&gt;Constants!$F$3,"Large",IF(H85&lt;=Constants!$E$3,"Small","Medium")),"")</f>
        <v>Medium</v>
      </c>
      <c r="K85" s="21" t="b">
        <f t="shared" si="3"/>
        <v>1</v>
      </c>
    </row>
    <row r="86" spans="1:11" x14ac:dyDescent="0.25">
      <c r="A86" s="108" t="s">
        <v>297</v>
      </c>
      <c r="B86" s="18"/>
      <c r="C86" s="19"/>
      <c r="D86" s="18">
        <v>85</v>
      </c>
      <c r="E86" s="18"/>
      <c r="F86" s="18">
        <v>154000</v>
      </c>
      <c r="G86" s="20"/>
      <c r="H86" s="18">
        <f>LOOKUP(A86,'Raw Data'!$B$1:$CQ$1,'Raw Data'!$B$9:$CQ$9)</f>
        <v>0</v>
      </c>
      <c r="I86" s="21" t="str">
        <f>IF(F86&lt;&gt;"",IF(F86&gt;Constants!$F$3,"Large",IF(F86&lt;=Constants!$E$3,"Small","Medium")),"")</f>
        <v>Large</v>
      </c>
      <c r="J86" s="21" t="str">
        <f>IF(H86&lt;&gt;"",IF(H86&gt;Constants!$F$3,"Large",IF(H86&lt;=Constants!$E$3,"Small","Medium")),"")</f>
        <v>Small</v>
      </c>
      <c r="K86" s="21" t="b">
        <f t="shared" si="3"/>
        <v>0</v>
      </c>
    </row>
    <row r="87" spans="1:11" x14ac:dyDescent="0.25">
      <c r="A87" s="108" t="s">
        <v>298</v>
      </c>
      <c r="B87" s="18"/>
      <c r="C87" s="19"/>
      <c r="D87" s="18">
        <v>5</v>
      </c>
      <c r="E87" s="18"/>
      <c r="F87" s="18">
        <v>245000</v>
      </c>
      <c r="G87" s="20"/>
      <c r="H87" s="18">
        <f>LOOKUP(A87,'Raw Data'!$B$1:$CQ$1,'Raw Data'!$B$9:$CQ$9)</f>
        <v>245000</v>
      </c>
      <c r="I87" s="21" t="str">
        <f>IF(F87&lt;&gt;"",IF(F87&gt;Constants!$F$3,"Large",IF(F87&lt;=Constants!$E$3,"Small","Medium")),"")</f>
        <v>Large</v>
      </c>
      <c r="J87" s="21" t="str">
        <f>IF(H87&lt;&gt;"",IF(H87&gt;Constants!$F$3,"Large",IF(H87&lt;=Constants!$E$3,"Small","Medium")),"")</f>
        <v>Large</v>
      </c>
      <c r="K87" s="21" t="b">
        <f t="shared" si="3"/>
        <v>1</v>
      </c>
    </row>
    <row r="88" spans="1:11" x14ac:dyDescent="0.25">
      <c r="A88" s="17" t="s">
        <v>299</v>
      </c>
      <c r="B88" s="18"/>
      <c r="C88" s="19"/>
      <c r="D88" s="18">
        <v>15</v>
      </c>
      <c r="E88" s="18"/>
      <c r="F88" s="18">
        <v>3631</v>
      </c>
      <c r="G88" s="20"/>
      <c r="H88" s="18">
        <f>LOOKUP(A88,'Raw Data'!$B$1:$CQ$1,'Raw Data'!$B$9:$CQ$9)</f>
        <v>3631</v>
      </c>
      <c r="I88" s="21" t="str">
        <f>IF(F88&lt;&gt;"",IF(F88&gt;Constants!$F$3,"Large",IF(F88&lt;=Constants!$E$3,"Small","Medium")),"")</f>
        <v>Small</v>
      </c>
      <c r="J88" s="21" t="str">
        <f>IF(H88&lt;&gt;"",IF(H88&gt;Constants!$F$3,"Large",IF(H88&lt;=Constants!$E$3,"Small","Medium")),"")</f>
        <v>Small</v>
      </c>
      <c r="K88" s="21" t="b">
        <f t="shared" si="3"/>
        <v>1</v>
      </c>
    </row>
    <row r="89" spans="1:11" x14ac:dyDescent="0.25">
      <c r="A89" s="17" t="s">
        <v>300</v>
      </c>
      <c r="B89" s="18"/>
      <c r="C89" s="19"/>
      <c r="D89" s="18">
        <v>40</v>
      </c>
      <c r="E89" s="18"/>
      <c r="F89" s="18">
        <v>219400</v>
      </c>
      <c r="G89" s="20"/>
      <c r="H89" s="18">
        <f>LOOKUP(A89,'Raw Data'!$B$1:$CQ$1,'Raw Data'!$B$9:$CQ$9)</f>
        <v>38900</v>
      </c>
      <c r="I89" s="21" t="str">
        <f>IF(F89&lt;&gt;"",IF(F89&gt;Constants!$F$3,"Large",IF(F89&lt;=Constants!$E$3,"Small","Medium")),"")</f>
        <v>Large</v>
      </c>
      <c r="J89" s="21" t="str">
        <f>IF(H89&lt;&gt;"",IF(H89&gt;Constants!$F$3,"Large",IF(H89&lt;=Constants!$E$3,"Small","Medium")),"")</f>
        <v>Large</v>
      </c>
      <c r="K89" s="21" t="b">
        <f t="shared" si="3"/>
        <v>1</v>
      </c>
    </row>
    <row r="90" spans="1:11" x14ac:dyDescent="0.25">
      <c r="A90" s="108" t="s">
        <v>301</v>
      </c>
      <c r="B90" s="18"/>
      <c r="C90" s="19"/>
      <c r="D90" s="18">
        <v>15</v>
      </c>
      <c r="E90" s="18"/>
      <c r="F90" s="18">
        <v>11000</v>
      </c>
      <c r="G90" s="20"/>
      <c r="H90" s="18">
        <f>LOOKUP(A90,'Raw Data'!$B$1:$CQ$1,'Raw Data'!$B$9:$CQ$9)</f>
        <v>11000</v>
      </c>
      <c r="I90" s="21" t="str">
        <f>IF(F90&lt;&gt;"",IF(F90&gt;Constants!$F$3,"Large",IF(F90&lt;=Constants!$E$3,"Small","Medium")),"")</f>
        <v>Medium</v>
      </c>
      <c r="J90" s="21" t="str">
        <f>IF(H90&lt;&gt;"",IF(H90&gt;Constants!$F$3,"Large",IF(H90&lt;=Constants!$E$3,"Small","Medium")),"")</f>
        <v>Medium</v>
      </c>
      <c r="K90" s="21" t="b">
        <f t="shared" si="3"/>
        <v>1</v>
      </c>
    </row>
    <row r="91" spans="1:11" x14ac:dyDescent="0.25">
      <c r="A91" s="17" t="s">
        <v>302</v>
      </c>
      <c r="B91" s="18"/>
      <c r="C91" s="19"/>
      <c r="D91" s="18">
        <v>40</v>
      </c>
      <c r="E91" s="18"/>
      <c r="F91" s="18">
        <v>33000</v>
      </c>
      <c r="G91" s="20"/>
      <c r="H91" s="18">
        <f>LOOKUP(A91,'Raw Data'!$B$1:$CQ$1,'Raw Data'!$B$9:$CQ$9)</f>
        <v>4400</v>
      </c>
      <c r="I91" s="21" t="str">
        <f>IF(F91&lt;&gt;"",IF(F91&gt;Constants!$F$3,"Large",IF(F91&lt;=Constants!$E$3,"Small","Medium")),"")</f>
        <v>Large</v>
      </c>
      <c r="J91" s="21" t="str">
        <f>IF(H91&lt;&gt;"",IF(H91&gt;Constants!$F$3,"Large",IF(H91&lt;=Constants!$E$3,"Small","Medium")),"")</f>
        <v>Small</v>
      </c>
      <c r="K91" s="21" t="b">
        <f t="shared" si="3"/>
        <v>0</v>
      </c>
    </row>
    <row r="92" spans="1:11" x14ac:dyDescent="0.25">
      <c r="A92" s="17" t="s">
        <v>303</v>
      </c>
      <c r="B92" s="18"/>
      <c r="C92" s="19"/>
      <c r="D92" s="18">
        <v>80</v>
      </c>
      <c r="E92" s="18"/>
      <c r="F92" s="18">
        <v>3000</v>
      </c>
      <c r="G92" s="20"/>
      <c r="H92" s="18">
        <f>LOOKUP(A92,'Raw Data'!$B$1:$CQ$1,'Raw Data'!$B$9:$CQ$9)</f>
        <v>12000</v>
      </c>
      <c r="I92" s="21" t="str">
        <f>IF(F92&lt;&gt;"",IF(F92&gt;Constants!$F$3,"Large",IF(F92&lt;=Constants!$E$3,"Small","Medium")),"")</f>
        <v>Small</v>
      </c>
      <c r="J92" s="21" t="str">
        <f>IF(H92&lt;&gt;"",IF(H92&gt;Constants!$F$3,"Large",IF(H92&lt;=Constants!$E$3,"Small","Medium")),"")</f>
        <v>Medium</v>
      </c>
      <c r="K92" s="21" t="b">
        <f t="shared" si="3"/>
        <v>0</v>
      </c>
    </row>
    <row r="93" spans="1:11" x14ac:dyDescent="0.25">
      <c r="A93" s="17" t="s">
        <v>304</v>
      </c>
      <c r="B93" s="18"/>
      <c r="C93" s="19"/>
      <c r="D93" s="18">
        <v>50</v>
      </c>
      <c r="E93" s="18"/>
      <c r="F93" s="18">
        <v>1800</v>
      </c>
      <c r="G93" s="20"/>
      <c r="H93" s="18">
        <f>LOOKUP(A93,'Raw Data'!$B$1:$CQ$1,'Raw Data'!$B$9:$CQ$9)</f>
        <v>1800</v>
      </c>
      <c r="I93" s="21" t="str">
        <f>IF(F93&lt;&gt;"",IF(F93&gt;Constants!$F$3,"Large",IF(F93&lt;=Constants!$E$3,"Small","Medium")),"")</f>
        <v>Small</v>
      </c>
      <c r="J93" s="21" t="str">
        <f>IF(H93&lt;&gt;"",IF(H93&gt;Constants!$F$3,"Large",IF(H93&lt;=Constants!$E$3,"Small","Medium")),"")</f>
        <v>Small</v>
      </c>
      <c r="K93" s="21" t="b">
        <f t="shared" si="3"/>
        <v>1</v>
      </c>
    </row>
    <row r="94" spans="1:11" x14ac:dyDescent="0.25">
      <c r="A94" s="108" t="s">
        <v>305</v>
      </c>
      <c r="B94" s="18"/>
      <c r="C94" s="19"/>
      <c r="D94" s="18">
        <v>85</v>
      </c>
      <c r="E94" s="18"/>
      <c r="F94" s="18">
        <v>20000</v>
      </c>
      <c r="G94" s="20"/>
      <c r="H94" s="18">
        <f>LOOKUP(A94,'Raw Data'!$B$1:$CQ$1,'Raw Data'!$B$9:$CQ$9)</f>
        <v>1404</v>
      </c>
      <c r="I94" s="21" t="str">
        <f>IF(F94&lt;&gt;"",IF(F94&gt;Constants!$F$3,"Large",IF(F94&lt;=Constants!$E$3,"Small","Medium")),"")</f>
        <v>Medium</v>
      </c>
      <c r="J94" s="21" t="str">
        <f>IF(H94&lt;&gt;"",IF(H94&gt;Constants!$F$3,"Large",IF(H94&lt;=Constants!$E$3,"Small","Medium")),"")</f>
        <v>Small</v>
      </c>
      <c r="K94" s="21" t="b">
        <f t="shared" si="3"/>
        <v>0</v>
      </c>
    </row>
    <row r="95" spans="1:11" x14ac:dyDescent="0.25">
      <c r="A95" s="108" t="s">
        <v>306</v>
      </c>
      <c r="B95" s="18"/>
      <c r="C95" s="19"/>
      <c r="D95" s="18">
        <v>85</v>
      </c>
      <c r="E95" s="18"/>
      <c r="F95" s="18">
        <v>6935</v>
      </c>
      <c r="G95" s="20"/>
      <c r="H95" s="18">
        <f>LOOKUP(A95,'Raw Data'!$B$1:$CQ$1,'Raw Data'!$B$9:$CQ$9)</f>
        <v>6935</v>
      </c>
      <c r="I95" s="21" t="str">
        <f>IF(F95&lt;&gt;"",IF(F95&gt;Constants!$F$3,"Large",IF(F95&lt;=Constants!$E$3,"Small","Medium")),"")</f>
        <v>Medium</v>
      </c>
      <c r="J95" s="21" t="str">
        <f>IF(H95&lt;&gt;"",IF(H95&gt;Constants!$F$3,"Large",IF(H95&lt;=Constants!$E$3,"Small","Medium")),"")</f>
        <v>Medium</v>
      </c>
      <c r="K95" s="21" t="b">
        <f t="shared" si="3"/>
        <v>1</v>
      </c>
    </row>
    <row r="96" spans="1:11" x14ac:dyDescent="0.25">
      <c r="A96" s="108"/>
      <c r="B96" s="18"/>
      <c r="C96" s="19"/>
      <c r="D96" s="18">
        <v>85</v>
      </c>
      <c r="E96" s="18"/>
      <c r="F96" s="18">
        <v>10</v>
      </c>
      <c r="G96" s="20"/>
      <c r="H96" s="18" t="e">
        <f>LOOKUP(A96,'Raw Data'!$B$1:$CQ$1,'Raw Data'!$B$9:$CQ$9)</f>
        <v>#N/A</v>
      </c>
      <c r="I96" s="21" t="str">
        <f>IF(F96&lt;&gt;"",IF(F96&gt;Constants!$F$3,"Large",IF(F96&lt;=Constants!$E$3,"Small","Medium")),"")</f>
        <v>Small</v>
      </c>
      <c r="J96" s="21" t="e">
        <f>IF(H96&lt;&gt;"",IF(H96&gt;Constants!$F$3,"Large",IF(H96&lt;=Constants!$E$3,"Small","Medium")),"")</f>
        <v>#N/A</v>
      </c>
      <c r="K96" s="21" t="e">
        <f t="shared" si="3"/>
        <v>#N/A</v>
      </c>
    </row>
    <row r="97" spans="1:11" x14ac:dyDescent="0.25">
      <c r="A97" s="108"/>
      <c r="B97" s="18"/>
      <c r="C97" s="19"/>
      <c r="D97" s="18">
        <v>85</v>
      </c>
      <c r="E97" s="18"/>
      <c r="F97" s="18">
        <v>600</v>
      </c>
      <c r="G97" s="20"/>
      <c r="H97" s="18" t="e">
        <f>LOOKUP(A97,'Raw Data'!$B$1:$CQ$1,'Raw Data'!$B$9:$CQ$9)</f>
        <v>#N/A</v>
      </c>
      <c r="I97" s="21" t="str">
        <f>IF(F97&lt;&gt;"",IF(F97&gt;Constants!$F$3,"Large",IF(F97&lt;=Constants!$E$3,"Small","Medium")),"")</f>
        <v>Small</v>
      </c>
      <c r="J97" s="21" t="e">
        <f>IF(H97&lt;&gt;"",IF(H97&gt;Constants!$F$3,"Large",IF(H97&lt;=Constants!$E$3,"Small","Medium")),"")</f>
        <v>#N/A</v>
      </c>
      <c r="K97" s="21" t="e">
        <f t="shared" si="3"/>
        <v>#N/A</v>
      </c>
    </row>
    <row r="98" spans="1:11" x14ac:dyDescent="0.25">
      <c r="A98" s="108"/>
      <c r="B98" s="18"/>
      <c r="C98" s="19"/>
      <c r="D98" s="18">
        <v>40</v>
      </c>
      <c r="E98" s="18"/>
      <c r="F98" s="18">
        <v>999</v>
      </c>
      <c r="G98" s="20"/>
      <c r="H98" s="18" t="e">
        <f>LOOKUP(A98,'Raw Data'!$B$1:$CQ$1,'Raw Data'!$B$9:$CQ$9)</f>
        <v>#N/A</v>
      </c>
      <c r="I98" s="21" t="str">
        <f>IF(F98&lt;&gt;"",IF(F98&gt;Constants!$F$3,"Large",IF(F98&lt;=Constants!$E$3,"Small","Medium")),"")</f>
        <v>Small</v>
      </c>
      <c r="J98" s="21" t="e">
        <f>IF(H98&lt;&gt;"",IF(H98&gt;Constants!$F$3,"Large",IF(H98&lt;=Constants!$E$3,"Small","Medium")),"")</f>
        <v>#N/A</v>
      </c>
      <c r="K98" s="21" t="e">
        <f t="shared" ref="K98:K129" si="4">J98=I98</f>
        <v>#N/A</v>
      </c>
    </row>
    <row r="99" spans="1:11" x14ac:dyDescent="0.25">
      <c r="B99" s="18"/>
      <c r="C99" s="19"/>
      <c r="D99" s="18">
        <v>15</v>
      </c>
      <c r="E99" s="18"/>
      <c r="F99" s="18">
        <v>1677</v>
      </c>
      <c r="G99" s="20"/>
      <c r="H99" s="18" t="e">
        <f>LOOKUP(A99,'Raw Data'!$B$1:$CQ$1,'Raw Data'!$B$9:$CQ$9)</f>
        <v>#N/A</v>
      </c>
      <c r="I99" s="21" t="str">
        <f>IF(F99&lt;&gt;"",IF(F99&gt;Constants!$F$3,"Large",IF(F99&lt;=Constants!$E$3,"Small","Medium")),"")</f>
        <v>Small</v>
      </c>
      <c r="J99" s="21" t="e">
        <f>IF(H99&lt;&gt;"",IF(H99&gt;Constants!$F$3,"Large",IF(H99&lt;=Constants!$E$3,"Small","Medium")),"")</f>
        <v>#N/A</v>
      </c>
      <c r="K99" s="21" t="e">
        <f t="shared" si="4"/>
        <v>#N/A</v>
      </c>
    </row>
    <row r="100" spans="1:11" x14ac:dyDescent="0.25">
      <c r="A100" s="108"/>
      <c r="B100" s="18"/>
      <c r="C100" s="19"/>
      <c r="D100" s="18">
        <v>90</v>
      </c>
      <c r="E100" s="18"/>
      <c r="F100" s="18">
        <v>2000</v>
      </c>
      <c r="G100" s="20"/>
      <c r="H100" s="18" t="e">
        <f>LOOKUP(A100,'Raw Data'!$B$1:$CQ$1,'Raw Data'!$B$9:$CQ$9)</f>
        <v>#N/A</v>
      </c>
      <c r="I100" s="21" t="str">
        <f>IF(F100&lt;&gt;"",IF(F100&gt;Constants!$F$3,"Large",IF(F100&lt;=Constants!$E$3,"Small","Medium")),"")</f>
        <v>Small</v>
      </c>
      <c r="J100" s="21" t="e">
        <f>IF(H100&lt;&gt;"",IF(H100&gt;Constants!$F$3,"Large",IF(H100&lt;=Constants!$E$3,"Small","Medium")),"")</f>
        <v>#N/A</v>
      </c>
      <c r="K100" s="21" t="e">
        <f t="shared" si="4"/>
        <v>#N/A</v>
      </c>
    </row>
    <row r="101" spans="1:11" x14ac:dyDescent="0.25">
      <c r="B101" s="18"/>
      <c r="C101" s="19"/>
      <c r="D101" s="18">
        <v>80</v>
      </c>
      <c r="E101" s="18"/>
      <c r="F101" s="18">
        <v>2200</v>
      </c>
      <c r="G101" s="20"/>
      <c r="H101" s="18" t="e">
        <f>LOOKUP(A101,'Raw Data'!$B$1:$CQ$1,'Raw Data'!$B$9:$CQ$9)</f>
        <v>#N/A</v>
      </c>
      <c r="I101" s="21" t="str">
        <f>IF(F101&lt;&gt;"",IF(F101&gt;Constants!$F$3,"Large",IF(F101&lt;=Constants!$E$3,"Small","Medium")),"")</f>
        <v>Small</v>
      </c>
      <c r="J101" s="21" t="e">
        <f>IF(H101&lt;&gt;"",IF(H101&gt;Constants!$F$3,"Large",IF(H101&lt;=Constants!$E$3,"Small","Medium")),"")</f>
        <v>#N/A</v>
      </c>
      <c r="K101" s="21" t="e">
        <f t="shared" si="4"/>
        <v>#N/A</v>
      </c>
    </row>
    <row r="102" spans="1:11" x14ac:dyDescent="0.25">
      <c r="A102" s="108"/>
      <c r="B102" s="18"/>
      <c r="C102" s="19"/>
      <c r="D102" s="18">
        <v>85</v>
      </c>
      <c r="E102" s="18"/>
      <c r="F102" s="18">
        <v>2400</v>
      </c>
      <c r="G102" s="20"/>
      <c r="H102" s="18" t="e">
        <f>LOOKUP(A102,'Raw Data'!$B$1:$CQ$1,'Raw Data'!$B$9:$CQ$9)</f>
        <v>#N/A</v>
      </c>
      <c r="I102" s="21" t="str">
        <f>IF(F102&lt;&gt;"",IF(F102&gt;Constants!$F$3,"Large",IF(F102&lt;=Constants!$E$3,"Small","Medium")),"")</f>
        <v>Small</v>
      </c>
      <c r="J102" s="21" t="e">
        <f>IF(H102&lt;&gt;"",IF(H102&gt;Constants!$F$3,"Large",IF(H102&lt;=Constants!$E$3,"Small","Medium")),"")</f>
        <v>#N/A</v>
      </c>
      <c r="K102" s="21" t="e">
        <f t="shared" si="4"/>
        <v>#N/A</v>
      </c>
    </row>
    <row r="103" spans="1:11" x14ac:dyDescent="0.25">
      <c r="A103" s="108"/>
      <c r="B103" s="18"/>
      <c r="C103" s="19"/>
      <c r="D103" s="18">
        <v>15</v>
      </c>
      <c r="E103" s="18"/>
      <c r="F103" s="18">
        <v>2500</v>
      </c>
      <c r="G103" s="20"/>
      <c r="H103" s="18" t="e">
        <f>LOOKUP(A103,'Raw Data'!$B$1:$CQ$1,'Raw Data'!$B$9:$CQ$9)</f>
        <v>#N/A</v>
      </c>
      <c r="I103" s="21" t="str">
        <f>IF(F103&lt;&gt;"",IF(F103&gt;Constants!$F$3,"Large",IF(F103&lt;=Constants!$E$3,"Small","Medium")),"")</f>
        <v>Small</v>
      </c>
      <c r="J103" s="21" t="e">
        <f>IF(H103&lt;&gt;"",IF(H103&gt;Constants!$F$3,"Large",IF(H103&lt;=Constants!$E$3,"Small","Medium")),"")</f>
        <v>#N/A</v>
      </c>
      <c r="K103" s="21" t="e">
        <f t="shared" si="4"/>
        <v>#N/A</v>
      </c>
    </row>
    <row r="104" spans="1:11" x14ac:dyDescent="0.25">
      <c r="B104" s="18"/>
      <c r="C104" s="19"/>
      <c r="D104" s="18">
        <v>50</v>
      </c>
      <c r="E104" s="18"/>
      <c r="F104" s="18">
        <v>2592</v>
      </c>
      <c r="G104" s="20"/>
      <c r="H104" s="18" t="e">
        <f>LOOKUP(A104,'Raw Data'!$B$1:$CQ$1,'Raw Data'!$B$9:$CQ$9)</f>
        <v>#N/A</v>
      </c>
      <c r="I104" s="21" t="str">
        <f>IF(F104&lt;&gt;"",IF(F104&gt;Constants!$F$3,"Large",IF(F104&lt;=Constants!$E$3,"Small","Medium")),"")</f>
        <v>Small</v>
      </c>
      <c r="J104" s="21" t="e">
        <f>IF(H104&lt;&gt;"",IF(H104&gt;Constants!$F$3,"Large",IF(H104&lt;=Constants!$E$3,"Small","Medium")),"")</f>
        <v>#N/A</v>
      </c>
      <c r="K104" s="21" t="e">
        <f t="shared" si="4"/>
        <v>#N/A</v>
      </c>
    </row>
    <row r="105" spans="1:11" x14ac:dyDescent="0.25">
      <c r="B105" s="18"/>
      <c r="C105" s="19"/>
      <c r="D105" s="18">
        <v>15</v>
      </c>
      <c r="E105" s="18"/>
      <c r="F105" s="18">
        <v>2688</v>
      </c>
      <c r="G105" s="20"/>
      <c r="H105" s="18" t="e">
        <f>LOOKUP(A105,'Raw Data'!$B$1:$CQ$1,'Raw Data'!$B$9:$CQ$9)</f>
        <v>#N/A</v>
      </c>
      <c r="I105" s="21" t="str">
        <f>IF(F105&lt;&gt;"",IF(F105&gt;Constants!$F$3,"Large",IF(F105&lt;=Constants!$E$3,"Small","Medium")),"")</f>
        <v>Small</v>
      </c>
      <c r="J105" s="21" t="e">
        <f>IF(H105&lt;&gt;"",IF(H105&gt;Constants!$F$3,"Large",IF(H105&lt;=Constants!$E$3,"Small","Medium")),"")</f>
        <v>#N/A</v>
      </c>
      <c r="K105" s="21" t="e">
        <f t="shared" si="4"/>
        <v>#N/A</v>
      </c>
    </row>
    <row r="106" spans="1:11" x14ac:dyDescent="0.25">
      <c r="B106" s="18"/>
      <c r="C106" s="19"/>
      <c r="D106" s="18">
        <v>35</v>
      </c>
      <c r="E106" s="18"/>
      <c r="F106" s="18">
        <v>2879</v>
      </c>
      <c r="G106" s="20"/>
      <c r="H106" s="18" t="e">
        <f>LOOKUP(A106,'Raw Data'!$B$1:$CQ$1,'Raw Data'!$B$9:$CQ$9)</f>
        <v>#N/A</v>
      </c>
      <c r="I106" s="21" t="str">
        <f>IF(F106&lt;&gt;"",IF(F106&gt;Constants!$F$3,"Large",IF(F106&lt;=Constants!$E$3,"Small","Medium")),"")</f>
        <v>Small</v>
      </c>
      <c r="J106" s="21" t="e">
        <f>IF(H106&lt;&gt;"",IF(H106&gt;Constants!$F$3,"Large",IF(H106&lt;=Constants!$E$3,"Small","Medium")),"")</f>
        <v>#N/A</v>
      </c>
      <c r="K106" s="21" t="e">
        <f t="shared" si="4"/>
        <v>#N/A</v>
      </c>
    </row>
    <row r="107" spans="1:11" x14ac:dyDescent="0.25">
      <c r="A107" s="108"/>
      <c r="B107" s="18"/>
      <c r="C107" s="19"/>
      <c r="D107" s="18">
        <v>5</v>
      </c>
      <c r="E107" s="18"/>
      <c r="F107" s="18">
        <v>3000</v>
      </c>
      <c r="G107" s="20"/>
      <c r="H107" s="18" t="e">
        <f>LOOKUP(A107,'Raw Data'!$B$1:$CQ$1,'Raw Data'!$B$9:$CQ$9)</f>
        <v>#N/A</v>
      </c>
      <c r="I107" s="21" t="str">
        <f>IF(F107&lt;&gt;"",IF(F107&gt;Constants!$F$3,"Large",IF(F107&lt;=Constants!$E$3,"Small","Medium")),"")</f>
        <v>Small</v>
      </c>
      <c r="J107" s="21" t="e">
        <f>IF(H107&lt;&gt;"",IF(H107&gt;Constants!$F$3,"Large",IF(H107&lt;=Constants!$E$3,"Small","Medium")),"")</f>
        <v>#N/A</v>
      </c>
      <c r="K107" s="21" t="e">
        <f t="shared" si="4"/>
        <v>#N/A</v>
      </c>
    </row>
    <row r="108" spans="1:11" x14ac:dyDescent="0.25">
      <c r="A108" s="108"/>
      <c r="B108" s="18"/>
      <c r="C108" s="19"/>
      <c r="D108" s="18">
        <v>85</v>
      </c>
      <c r="E108" s="18"/>
      <c r="F108" s="18">
        <v>3000</v>
      </c>
      <c r="G108" s="20"/>
      <c r="H108" s="18" t="e">
        <f>LOOKUP(A108,'Raw Data'!$B$1:$CQ$1,'Raw Data'!$B$9:$CQ$9)</f>
        <v>#N/A</v>
      </c>
      <c r="I108" s="21" t="str">
        <f>IF(F108&lt;&gt;"",IF(F108&gt;Constants!$F$3,"Large",IF(F108&lt;=Constants!$E$3,"Small","Medium")),"")</f>
        <v>Small</v>
      </c>
      <c r="J108" s="21" t="e">
        <f>IF(H108&lt;&gt;"",IF(H108&gt;Constants!$F$3,"Large",IF(H108&lt;=Constants!$E$3,"Small","Medium")),"")</f>
        <v>#N/A</v>
      </c>
      <c r="K108" s="21" t="e">
        <f t="shared" si="4"/>
        <v>#N/A</v>
      </c>
    </row>
    <row r="109" spans="1:11" x14ac:dyDescent="0.25">
      <c r="A109" s="108"/>
      <c r="B109" s="18"/>
      <c r="C109" s="19"/>
      <c r="D109" s="18">
        <v>40</v>
      </c>
      <c r="E109" s="18"/>
      <c r="F109" s="18">
        <v>3476</v>
      </c>
      <c r="G109" s="20"/>
      <c r="H109" s="18" t="e">
        <f>LOOKUP(A109,'Raw Data'!$B$1:$CQ$1,'Raw Data'!$B$9:$CQ$9)</f>
        <v>#N/A</v>
      </c>
      <c r="I109" s="21" t="str">
        <f>IF(F109&lt;&gt;"",IF(F109&gt;Constants!$F$3,"Large",IF(F109&lt;=Constants!$E$3,"Small","Medium")),"")</f>
        <v>Small</v>
      </c>
      <c r="J109" s="21" t="e">
        <f>IF(H109&lt;&gt;"",IF(H109&gt;Constants!$F$3,"Large",IF(H109&lt;=Constants!$E$3,"Small","Medium")),"")</f>
        <v>#N/A</v>
      </c>
      <c r="K109" s="21" t="e">
        <f t="shared" si="4"/>
        <v>#N/A</v>
      </c>
    </row>
    <row r="110" spans="1:11" x14ac:dyDescent="0.25">
      <c r="B110" s="18"/>
      <c r="C110" s="19"/>
      <c r="D110" s="18">
        <v>85</v>
      </c>
      <c r="E110" s="18"/>
      <c r="F110" s="18">
        <v>3600</v>
      </c>
      <c r="G110" s="20"/>
      <c r="H110" s="18" t="e">
        <f>LOOKUP(A110,'Raw Data'!$B$1:$CQ$1,'Raw Data'!$B$9:$CQ$9)</f>
        <v>#N/A</v>
      </c>
      <c r="I110" s="21" t="str">
        <f>IF(F110&lt;&gt;"",IF(F110&gt;Constants!$F$3,"Large",IF(F110&lt;=Constants!$E$3,"Small","Medium")),"")</f>
        <v>Small</v>
      </c>
      <c r="J110" s="21" t="e">
        <f>IF(H110&lt;&gt;"",IF(H110&gt;Constants!$F$3,"Large",IF(H110&lt;=Constants!$E$3,"Small","Medium")),"")</f>
        <v>#N/A</v>
      </c>
      <c r="K110" s="21" t="e">
        <f t="shared" si="4"/>
        <v>#N/A</v>
      </c>
    </row>
    <row r="111" spans="1:11" x14ac:dyDescent="0.25">
      <c r="A111" s="108"/>
      <c r="B111" s="18"/>
      <c r="C111" s="19"/>
      <c r="D111" s="18">
        <v>80</v>
      </c>
      <c r="E111" s="18"/>
      <c r="F111" s="18">
        <v>3640</v>
      </c>
      <c r="G111" s="20"/>
      <c r="H111" s="18" t="e">
        <f>LOOKUP(A111,'Raw Data'!$B$1:$CQ$1,'Raw Data'!$B$9:$CQ$9)</f>
        <v>#N/A</v>
      </c>
      <c r="I111" s="21" t="str">
        <f>IF(F111&lt;&gt;"",IF(F111&gt;Constants!$F$3,"Large",IF(F111&lt;=Constants!$E$3,"Small","Medium")),"")</f>
        <v>Small</v>
      </c>
      <c r="J111" s="21" t="e">
        <f>IF(H111&lt;&gt;"",IF(H111&gt;Constants!$F$3,"Large",IF(H111&lt;=Constants!$E$3,"Small","Medium")),"")</f>
        <v>#N/A</v>
      </c>
      <c r="K111" s="21" t="e">
        <f t="shared" si="4"/>
        <v>#N/A</v>
      </c>
    </row>
    <row r="112" spans="1:11" x14ac:dyDescent="0.25">
      <c r="A112" s="108"/>
      <c r="B112" s="18"/>
      <c r="C112" s="19"/>
      <c r="D112" s="18">
        <v>60</v>
      </c>
      <c r="E112" s="18"/>
      <c r="F112" s="18">
        <v>3700</v>
      </c>
      <c r="G112" s="20"/>
      <c r="H112" s="18" t="e">
        <f>LOOKUP(A112,'Raw Data'!$B$1:$CQ$1,'Raw Data'!$B$9:$CQ$9)</f>
        <v>#N/A</v>
      </c>
      <c r="I112" s="21" t="str">
        <f>IF(F112&lt;&gt;"",IF(F112&gt;Constants!$F$3,"Large",IF(F112&lt;=Constants!$E$3,"Small","Medium")),"")</f>
        <v>Small</v>
      </c>
      <c r="J112" s="21" t="e">
        <f>IF(H112&lt;&gt;"",IF(H112&gt;Constants!$F$3,"Large",IF(H112&lt;=Constants!$E$3,"Small","Medium")),"")</f>
        <v>#N/A</v>
      </c>
      <c r="K112" s="21" t="e">
        <f t="shared" si="4"/>
        <v>#N/A</v>
      </c>
    </row>
    <row r="113" spans="1:11" x14ac:dyDescent="0.25">
      <c r="A113" s="108"/>
      <c r="B113" s="18"/>
      <c r="C113" s="19"/>
      <c r="D113" s="18">
        <v>60</v>
      </c>
      <c r="E113" s="18"/>
      <c r="F113" s="18">
        <v>3916</v>
      </c>
      <c r="G113" s="20"/>
      <c r="H113" s="18" t="e">
        <f>LOOKUP(A113,'Raw Data'!$B$1:$CQ$1,'Raw Data'!$B$9:$CQ$9)</f>
        <v>#N/A</v>
      </c>
      <c r="I113" s="21" t="str">
        <f>IF(F113&lt;&gt;"",IF(F113&gt;Constants!$F$3,"Large",IF(F113&lt;=Constants!$E$3,"Small","Medium")),"")</f>
        <v>Small</v>
      </c>
      <c r="J113" s="21" t="e">
        <f>IF(H113&lt;&gt;"",IF(H113&gt;Constants!$F$3,"Large",IF(H113&lt;=Constants!$E$3,"Small","Medium")),"")</f>
        <v>#N/A</v>
      </c>
      <c r="K113" s="21" t="e">
        <f t="shared" si="4"/>
        <v>#N/A</v>
      </c>
    </row>
    <row r="114" spans="1:11" x14ac:dyDescent="0.25">
      <c r="B114" s="18"/>
      <c r="C114" s="19"/>
      <c r="D114" s="18">
        <v>25</v>
      </c>
      <c r="E114" s="18"/>
      <c r="F114" s="18">
        <v>4000</v>
      </c>
      <c r="G114" s="20"/>
      <c r="H114" s="18" t="e">
        <f>LOOKUP(A114,'Raw Data'!$B$1:$CQ$1,'Raw Data'!$B$9:$CQ$9)</f>
        <v>#N/A</v>
      </c>
      <c r="I114" s="21" t="str">
        <f>IF(F114&lt;&gt;"",IF(F114&gt;Constants!$F$3,"Large",IF(F114&lt;=Constants!$E$3,"Small","Medium")),"")</f>
        <v>Small</v>
      </c>
      <c r="J114" s="21" t="e">
        <f>IF(H114&lt;&gt;"",IF(H114&gt;Constants!$F$3,"Large",IF(H114&lt;=Constants!$E$3,"Small","Medium")),"")</f>
        <v>#N/A</v>
      </c>
      <c r="K114" s="21" t="e">
        <f t="shared" si="4"/>
        <v>#N/A</v>
      </c>
    </row>
    <row r="115" spans="1:11" x14ac:dyDescent="0.25">
      <c r="B115" s="18"/>
      <c r="C115" s="19"/>
      <c r="D115" s="18">
        <v>80</v>
      </c>
      <c r="E115" s="18"/>
      <c r="F115" s="18">
        <v>4000</v>
      </c>
      <c r="G115" s="20"/>
      <c r="H115" s="18" t="e">
        <f>LOOKUP(A115,'Raw Data'!$B$1:$CQ$1,'Raw Data'!$B$9:$CQ$9)</f>
        <v>#N/A</v>
      </c>
      <c r="I115" s="21" t="str">
        <f>IF(F115&lt;&gt;"",IF(F115&gt;Constants!$F$3,"Large",IF(F115&lt;=Constants!$E$3,"Small","Medium")),"")</f>
        <v>Small</v>
      </c>
      <c r="J115" s="21" t="e">
        <f>IF(H115&lt;&gt;"",IF(H115&gt;Constants!$F$3,"Large",IF(H115&lt;=Constants!$E$3,"Small","Medium")),"")</f>
        <v>#N/A</v>
      </c>
      <c r="K115" s="21" t="e">
        <f t="shared" si="4"/>
        <v>#N/A</v>
      </c>
    </row>
    <row r="116" spans="1:11" x14ac:dyDescent="0.25">
      <c r="A116" s="108"/>
      <c r="B116" s="18"/>
      <c r="C116" s="19"/>
      <c r="D116" s="18">
        <v>15</v>
      </c>
      <c r="E116" s="18"/>
      <c r="F116" s="18">
        <v>4200</v>
      </c>
      <c r="G116" s="20"/>
      <c r="H116" s="18" t="e">
        <f>LOOKUP(A116,'Raw Data'!$B$1:$CQ$1,'Raw Data'!$B$9:$CQ$9)</f>
        <v>#N/A</v>
      </c>
      <c r="I116" s="21" t="str">
        <f>IF(F116&lt;&gt;"",IF(F116&gt;Constants!$F$3,"Large",IF(F116&lt;=Constants!$E$3,"Small","Medium")),"")</f>
        <v>Small</v>
      </c>
      <c r="J116" s="21" t="e">
        <f>IF(H116&lt;&gt;"",IF(H116&gt;Constants!$F$3,"Large",IF(H116&lt;=Constants!$E$3,"Small","Medium")),"")</f>
        <v>#N/A</v>
      </c>
      <c r="K116" s="21" t="e">
        <f t="shared" si="4"/>
        <v>#N/A</v>
      </c>
    </row>
    <row r="117" spans="1:11" x14ac:dyDescent="0.25">
      <c r="A117" s="108"/>
      <c r="B117" s="18"/>
      <c r="C117" s="19"/>
      <c r="D117" s="18">
        <v>25</v>
      </c>
      <c r="E117" s="18"/>
      <c r="F117" s="18">
        <v>4625</v>
      </c>
      <c r="G117" s="20"/>
      <c r="H117" s="18" t="e">
        <f>LOOKUP(A117,'Raw Data'!$B$1:$CQ$1,'Raw Data'!$B$9:$CQ$9)</f>
        <v>#N/A</v>
      </c>
      <c r="I117" s="21" t="str">
        <f>IF(F117&lt;&gt;"",IF(F117&gt;Constants!$F$3,"Large",IF(F117&lt;=Constants!$E$3,"Small","Medium")),"")</f>
        <v>Small</v>
      </c>
      <c r="J117" s="21" t="e">
        <f>IF(H117&lt;&gt;"",IF(H117&gt;Constants!$F$3,"Large",IF(H117&lt;=Constants!$E$3,"Small","Medium")),"")</f>
        <v>#N/A</v>
      </c>
      <c r="K117" s="21" t="e">
        <f t="shared" si="4"/>
        <v>#N/A</v>
      </c>
    </row>
    <row r="118" spans="1:11" x14ac:dyDescent="0.25">
      <c r="B118" s="18"/>
      <c r="C118" s="19"/>
      <c r="D118" s="18">
        <v>80</v>
      </c>
      <c r="E118" s="18"/>
      <c r="F118" s="18">
        <v>4740</v>
      </c>
      <c r="G118" s="20"/>
      <c r="H118" s="18" t="e">
        <f>LOOKUP(A118,'Raw Data'!$B$1:$CQ$1,'Raw Data'!$B$9:$CQ$9)</f>
        <v>#N/A</v>
      </c>
      <c r="I118" s="21" t="str">
        <f>IF(F118&lt;&gt;"",IF(F118&gt;Constants!$F$3,"Large",IF(F118&lt;=Constants!$E$3,"Small","Medium")),"")</f>
        <v>Small</v>
      </c>
      <c r="J118" s="21" t="e">
        <f>IF(H118&lt;&gt;"",IF(H118&gt;Constants!$F$3,"Large",IF(H118&lt;=Constants!$E$3,"Small","Medium")),"")</f>
        <v>#N/A</v>
      </c>
      <c r="K118" s="21" t="e">
        <f t="shared" si="4"/>
        <v>#N/A</v>
      </c>
    </row>
    <row r="119" spans="1:11" x14ac:dyDescent="0.25">
      <c r="B119" s="18"/>
      <c r="C119" s="19"/>
      <c r="D119" s="18">
        <v>40</v>
      </c>
      <c r="E119" s="18"/>
      <c r="F119" s="18">
        <v>4800</v>
      </c>
      <c r="G119" s="20"/>
      <c r="H119" s="18" t="e">
        <f>LOOKUP(A119,'Raw Data'!$B$1:$CQ$1,'Raw Data'!$B$9:$CQ$9)</f>
        <v>#N/A</v>
      </c>
      <c r="I119" s="21" t="str">
        <f>IF(F119&lt;&gt;"",IF(F119&gt;Constants!$F$3,"Large",IF(F119&lt;=Constants!$E$3,"Small","Medium")),"")</f>
        <v>Small</v>
      </c>
      <c r="J119" s="21" t="e">
        <f>IF(H119&lt;&gt;"",IF(H119&gt;Constants!$F$3,"Large",IF(H119&lt;=Constants!$E$3,"Small","Medium")),"")</f>
        <v>#N/A</v>
      </c>
      <c r="K119" s="21" t="e">
        <f t="shared" si="4"/>
        <v>#N/A</v>
      </c>
    </row>
    <row r="120" spans="1:11" x14ac:dyDescent="0.25">
      <c r="B120" s="18"/>
      <c r="C120" s="19"/>
      <c r="D120" s="18">
        <v>25</v>
      </c>
      <c r="E120" s="18"/>
      <c r="F120" s="18">
        <v>5171.96</v>
      </c>
      <c r="G120" s="20"/>
      <c r="H120" s="18" t="e">
        <f>LOOKUP(A120,'Raw Data'!$B$1:$CQ$1,'Raw Data'!$B$9:$CQ$9)</f>
        <v>#N/A</v>
      </c>
      <c r="I120" s="21" t="str">
        <f>IF(F120&lt;&gt;"",IF(F120&gt;Constants!$F$3,"Large",IF(F120&lt;=Constants!$E$3,"Small","Medium")),"")</f>
        <v>Medium</v>
      </c>
      <c r="J120" s="21" t="e">
        <f>IF(H120&lt;&gt;"",IF(H120&gt;Constants!$F$3,"Large",IF(H120&lt;=Constants!$E$3,"Small","Medium")),"")</f>
        <v>#N/A</v>
      </c>
      <c r="K120" s="21" t="e">
        <f t="shared" si="4"/>
        <v>#N/A</v>
      </c>
    </row>
    <row r="121" spans="1:11" x14ac:dyDescent="0.25">
      <c r="A121" s="108"/>
      <c r="B121" s="18"/>
      <c r="C121" s="19"/>
      <c r="D121" s="18">
        <v>90</v>
      </c>
      <c r="E121" s="18"/>
      <c r="F121" s="18">
        <v>6000</v>
      </c>
      <c r="G121" s="20"/>
      <c r="H121" s="18" t="e">
        <f>LOOKUP(A121,'Raw Data'!$B$1:$CQ$1,'Raw Data'!$B$9:$CQ$9)</f>
        <v>#N/A</v>
      </c>
      <c r="I121" s="21" t="str">
        <f>IF(F121&lt;&gt;"",IF(F121&gt;Constants!$F$3,"Large",IF(F121&lt;=Constants!$E$3,"Small","Medium")),"")</f>
        <v>Medium</v>
      </c>
      <c r="J121" s="21" t="e">
        <f>IF(H121&lt;&gt;"",IF(H121&gt;Constants!$F$3,"Large",IF(H121&lt;=Constants!$E$3,"Small","Medium")),"")</f>
        <v>#N/A</v>
      </c>
      <c r="K121" s="21" t="e">
        <f t="shared" si="4"/>
        <v>#N/A</v>
      </c>
    </row>
    <row r="122" spans="1:11" x14ac:dyDescent="0.25">
      <c r="A122" s="108"/>
      <c r="B122" s="18"/>
      <c r="C122" s="19"/>
      <c r="D122" s="18">
        <v>90</v>
      </c>
      <c r="E122" s="18"/>
      <c r="F122" s="18">
        <v>6000</v>
      </c>
      <c r="G122" s="20"/>
      <c r="H122" s="18" t="e">
        <f>LOOKUP(A122,'Raw Data'!$B$1:$CQ$1,'Raw Data'!$B$9:$CQ$9)</f>
        <v>#N/A</v>
      </c>
      <c r="I122" s="21" t="str">
        <f>IF(F122&lt;&gt;"",IF(F122&gt;Constants!$F$3,"Large",IF(F122&lt;=Constants!$E$3,"Small","Medium")),"")</f>
        <v>Medium</v>
      </c>
      <c r="J122" s="21" t="e">
        <f>IF(H122&lt;&gt;"",IF(H122&gt;Constants!$F$3,"Large",IF(H122&lt;=Constants!$E$3,"Small","Medium")),"")</f>
        <v>#N/A</v>
      </c>
      <c r="K122" s="21" t="e">
        <f t="shared" si="4"/>
        <v>#N/A</v>
      </c>
    </row>
    <row r="123" spans="1:11" x14ac:dyDescent="0.25">
      <c r="B123" s="18"/>
      <c r="C123" s="19"/>
      <c r="D123" s="18">
        <v>25</v>
      </c>
      <c r="E123" s="18"/>
      <c r="F123" s="18">
        <v>6192</v>
      </c>
      <c r="G123" s="20"/>
      <c r="H123" s="18" t="e">
        <f>LOOKUP(A123,'Raw Data'!$B$1:$CQ$1,'Raw Data'!$B$9:$CQ$9)</f>
        <v>#N/A</v>
      </c>
      <c r="I123" s="21" t="str">
        <f>IF(F123&lt;&gt;"",IF(F123&gt;Constants!$F$3,"Large",IF(F123&lt;=Constants!$E$3,"Small","Medium")),"")</f>
        <v>Medium</v>
      </c>
      <c r="J123" s="21" t="e">
        <f>IF(H123&lt;&gt;"",IF(H123&gt;Constants!$F$3,"Large",IF(H123&lt;=Constants!$E$3,"Small","Medium")),"")</f>
        <v>#N/A</v>
      </c>
      <c r="K123" s="21" t="e">
        <f t="shared" si="4"/>
        <v>#N/A</v>
      </c>
    </row>
    <row r="124" spans="1:11" x14ac:dyDescent="0.25">
      <c r="B124" s="18"/>
      <c r="C124" s="19"/>
      <c r="D124" s="18">
        <v>60</v>
      </c>
      <c r="E124" s="18"/>
      <c r="F124" s="18">
        <v>7000</v>
      </c>
      <c r="G124" s="20"/>
      <c r="H124" s="18" t="e">
        <f>LOOKUP(A124,'Raw Data'!$B$1:$CQ$1,'Raw Data'!$B$9:$CQ$9)</f>
        <v>#N/A</v>
      </c>
      <c r="I124" s="21" t="str">
        <f>IF(F124&lt;&gt;"",IF(F124&gt;Constants!$F$3,"Large",IF(F124&lt;=Constants!$E$3,"Small","Medium")),"")</f>
        <v>Medium</v>
      </c>
      <c r="J124" s="21" t="e">
        <f>IF(H124&lt;&gt;"",IF(H124&gt;Constants!$F$3,"Large",IF(H124&lt;=Constants!$E$3,"Small","Medium")),"")</f>
        <v>#N/A</v>
      </c>
      <c r="K124" s="21" t="e">
        <f t="shared" si="4"/>
        <v>#N/A</v>
      </c>
    </row>
    <row r="125" spans="1:11" x14ac:dyDescent="0.25">
      <c r="A125" s="108"/>
      <c r="B125" s="18"/>
      <c r="C125" s="19"/>
      <c r="D125" s="18">
        <v>80</v>
      </c>
      <c r="E125" s="18"/>
      <c r="F125" s="18">
        <v>7000</v>
      </c>
      <c r="G125" s="20"/>
      <c r="H125" s="18" t="e">
        <f>LOOKUP(A125,'Raw Data'!$B$1:$CQ$1,'Raw Data'!$B$9:$CQ$9)</f>
        <v>#N/A</v>
      </c>
      <c r="I125" s="21" t="str">
        <f>IF(F125&lt;&gt;"",IF(F125&gt;Constants!$F$3,"Large",IF(F125&lt;=Constants!$E$3,"Small","Medium")),"")</f>
        <v>Medium</v>
      </c>
      <c r="J125" s="21" t="e">
        <f>IF(H125&lt;&gt;"",IF(H125&gt;Constants!$F$3,"Large",IF(H125&lt;=Constants!$E$3,"Small","Medium")),"")</f>
        <v>#N/A</v>
      </c>
      <c r="K125" s="21" t="e">
        <f t="shared" si="4"/>
        <v>#N/A</v>
      </c>
    </row>
    <row r="126" spans="1:11" x14ac:dyDescent="0.25">
      <c r="A126" s="108"/>
      <c r="B126" s="18"/>
      <c r="C126" s="19"/>
      <c r="D126" s="18">
        <v>40</v>
      </c>
      <c r="E126" s="18"/>
      <c r="F126" s="18">
        <v>7004</v>
      </c>
      <c r="G126" s="20"/>
      <c r="H126" s="18" t="e">
        <f>LOOKUP(A126,'Raw Data'!$B$1:$CQ$1,'Raw Data'!$B$9:$CQ$9)</f>
        <v>#N/A</v>
      </c>
      <c r="I126" s="21" t="str">
        <f>IF(F126&lt;&gt;"",IF(F126&gt;Constants!$F$3,"Large",IF(F126&lt;=Constants!$E$3,"Small","Medium")),"")</f>
        <v>Medium</v>
      </c>
      <c r="J126" s="21" t="e">
        <f>IF(H126&lt;&gt;"",IF(H126&gt;Constants!$F$3,"Large",IF(H126&lt;=Constants!$E$3,"Small","Medium")),"")</f>
        <v>#N/A</v>
      </c>
      <c r="K126" s="21" t="e">
        <f t="shared" si="4"/>
        <v>#N/A</v>
      </c>
    </row>
    <row r="127" spans="1:11" x14ac:dyDescent="0.25">
      <c r="A127" s="108"/>
      <c r="B127" s="22"/>
      <c r="C127" s="23"/>
      <c r="D127" s="22">
        <v>40</v>
      </c>
      <c r="E127" s="22"/>
      <c r="F127" s="22">
        <v>7065</v>
      </c>
      <c r="G127" s="24"/>
      <c r="H127" s="18" t="e">
        <f>LOOKUP(A127,'Raw Data'!$B$1:$CQ$1,'Raw Data'!$B$9:$CQ$9)</f>
        <v>#N/A</v>
      </c>
      <c r="I127" s="21" t="str">
        <f>IF(F127&lt;&gt;"",IF(F127&gt;Constants!$F$3,"Large",IF(F127&lt;=Constants!$E$3,"Small","Medium")),"")</f>
        <v>Medium</v>
      </c>
      <c r="J127" s="21" t="e">
        <f>IF(H127&lt;&gt;"",IF(H127&gt;Constants!$F$3,"Large",IF(H127&lt;=Constants!$E$3,"Small","Medium")),"")</f>
        <v>#N/A</v>
      </c>
      <c r="K127" s="21" t="e">
        <f t="shared" si="4"/>
        <v>#N/A</v>
      </c>
    </row>
    <row r="128" spans="1:11" x14ac:dyDescent="0.25">
      <c r="B128" s="18"/>
      <c r="C128" s="19"/>
      <c r="D128" s="18">
        <v>40</v>
      </c>
      <c r="E128" s="18"/>
      <c r="F128" s="18">
        <v>8300</v>
      </c>
      <c r="G128" s="20"/>
      <c r="H128" s="18" t="e">
        <f>LOOKUP(A128,'Raw Data'!$B$1:$CQ$1,'Raw Data'!$B$9:$CQ$9)</f>
        <v>#N/A</v>
      </c>
      <c r="I128" s="21" t="str">
        <f>IF(F128&lt;&gt;"",IF(F128&gt;Constants!$F$3,"Large",IF(F128&lt;=Constants!$E$3,"Small","Medium")),"")</f>
        <v>Medium</v>
      </c>
      <c r="J128" s="21" t="e">
        <f>IF(H128&lt;&gt;"",IF(H128&gt;Constants!$F$3,"Large",IF(H128&lt;=Constants!$E$3,"Small","Medium")),"")</f>
        <v>#N/A</v>
      </c>
      <c r="K128" s="21" t="e">
        <f t="shared" si="4"/>
        <v>#N/A</v>
      </c>
    </row>
    <row r="129" spans="1:11" x14ac:dyDescent="0.25">
      <c r="B129" s="18"/>
      <c r="C129" s="19"/>
      <c r="D129" s="18">
        <v>60</v>
      </c>
      <c r="E129" s="18"/>
      <c r="F129" s="18">
        <v>8500</v>
      </c>
      <c r="G129" s="20"/>
      <c r="H129" s="18" t="e">
        <f>LOOKUP(A129,'Raw Data'!$B$1:$CQ$1,'Raw Data'!$B$9:$CQ$9)</f>
        <v>#N/A</v>
      </c>
      <c r="I129" s="21" t="str">
        <f>IF(F129&lt;&gt;"",IF(F129&gt;Constants!$F$3,"Large",IF(F129&lt;=Constants!$E$3,"Small","Medium")),"")</f>
        <v>Medium</v>
      </c>
      <c r="J129" s="21" t="e">
        <f>IF(H129&lt;&gt;"",IF(H129&gt;Constants!$F$3,"Large",IF(H129&lt;=Constants!$E$3,"Small","Medium")),"")</f>
        <v>#N/A</v>
      </c>
      <c r="K129" s="21" t="e">
        <f t="shared" si="4"/>
        <v>#N/A</v>
      </c>
    </row>
    <row r="130" spans="1:11" x14ac:dyDescent="0.25">
      <c r="B130" s="18"/>
      <c r="C130" s="19"/>
      <c r="D130" s="18">
        <v>15</v>
      </c>
      <c r="E130" s="18"/>
      <c r="F130" s="18">
        <v>8600</v>
      </c>
      <c r="G130" s="20"/>
      <c r="H130" s="18" t="e">
        <f>LOOKUP(A130,'Raw Data'!$B$1:$CQ$1,'Raw Data'!$B$9:$CQ$9)</f>
        <v>#N/A</v>
      </c>
      <c r="I130" s="21" t="str">
        <f>IF(F130&lt;&gt;"",IF(F130&gt;Constants!$F$3,"Large",IF(F130&lt;=Constants!$E$3,"Small","Medium")),"")</f>
        <v>Medium</v>
      </c>
      <c r="J130" s="21" t="e">
        <f>IF(H130&lt;&gt;"",IF(H130&gt;Constants!$F$3,"Large",IF(H130&lt;=Constants!$E$3,"Small","Medium")),"")</f>
        <v>#N/A</v>
      </c>
      <c r="K130" s="21" t="e">
        <f t="shared" ref="K130:K161" si="5">J130=I130</f>
        <v>#N/A</v>
      </c>
    </row>
    <row r="131" spans="1:11" x14ac:dyDescent="0.25">
      <c r="A131" s="108"/>
      <c r="B131" s="18"/>
      <c r="C131" s="19"/>
      <c r="D131" s="18">
        <v>60</v>
      </c>
      <c r="E131" s="18"/>
      <c r="F131" s="18">
        <v>8700</v>
      </c>
      <c r="G131" s="20"/>
      <c r="H131" s="18" t="e">
        <f>LOOKUP(A131,'Raw Data'!$B$1:$CQ$1,'Raw Data'!$B$9:$CQ$9)</f>
        <v>#N/A</v>
      </c>
      <c r="I131" s="21" t="str">
        <f>IF(F131&lt;&gt;"",IF(F131&gt;Constants!$F$3,"Large",IF(F131&lt;=Constants!$E$3,"Small","Medium")),"")</f>
        <v>Medium</v>
      </c>
      <c r="J131" s="21" t="e">
        <f>IF(H131&lt;&gt;"",IF(H131&gt;Constants!$F$3,"Large",IF(H131&lt;=Constants!$E$3,"Small","Medium")),"")</f>
        <v>#N/A</v>
      </c>
      <c r="K131" s="21" t="e">
        <f t="shared" si="5"/>
        <v>#N/A</v>
      </c>
    </row>
    <row r="132" spans="1:11" x14ac:dyDescent="0.25">
      <c r="B132" s="18"/>
      <c r="C132" s="19"/>
      <c r="D132" s="18">
        <v>15</v>
      </c>
      <c r="E132" s="18"/>
      <c r="F132" s="18">
        <v>9000</v>
      </c>
      <c r="G132" s="20"/>
      <c r="H132" s="18" t="e">
        <f>LOOKUP(A132,'Raw Data'!$B$1:$CQ$1,'Raw Data'!$B$9:$CQ$9)</f>
        <v>#N/A</v>
      </c>
      <c r="I132" s="21" t="str">
        <f>IF(F132&lt;&gt;"",IF(F132&gt;Constants!$F$3,"Large",IF(F132&lt;=Constants!$E$3,"Small","Medium")),"")</f>
        <v>Medium</v>
      </c>
      <c r="J132" s="21" t="e">
        <f>IF(H132&lt;&gt;"",IF(H132&gt;Constants!$F$3,"Large",IF(H132&lt;=Constants!$E$3,"Small","Medium")),"")</f>
        <v>#N/A</v>
      </c>
      <c r="K132" s="21" t="e">
        <f t="shared" si="5"/>
        <v>#N/A</v>
      </c>
    </row>
    <row r="133" spans="1:11" x14ac:dyDescent="0.25">
      <c r="A133" s="108"/>
      <c r="B133" s="18"/>
      <c r="C133" s="19"/>
      <c r="D133" s="18">
        <v>25</v>
      </c>
      <c r="E133" s="18"/>
      <c r="F133" s="18">
        <v>10000</v>
      </c>
      <c r="G133" s="20"/>
      <c r="H133" s="18" t="e">
        <f>LOOKUP(A133,'Raw Data'!$B$1:$CQ$1,'Raw Data'!$B$9:$CQ$9)</f>
        <v>#N/A</v>
      </c>
      <c r="I133" s="21" t="str">
        <f>IF(F133&lt;&gt;"",IF(F133&gt;Constants!$F$3,"Large",IF(F133&lt;=Constants!$E$3,"Small","Medium")),"")</f>
        <v>Medium</v>
      </c>
      <c r="J133" s="21" t="e">
        <f>IF(H133&lt;&gt;"",IF(H133&gt;Constants!$F$3,"Large",IF(H133&lt;=Constants!$E$3,"Small","Medium")),"")</f>
        <v>#N/A</v>
      </c>
      <c r="K133" s="21" t="e">
        <f t="shared" si="5"/>
        <v>#N/A</v>
      </c>
    </row>
    <row r="134" spans="1:11" x14ac:dyDescent="0.25">
      <c r="A134" s="108"/>
      <c r="B134" s="18"/>
      <c r="C134" s="19"/>
      <c r="D134" s="18">
        <v>25</v>
      </c>
      <c r="E134" s="18"/>
      <c r="F134" s="18">
        <v>10000</v>
      </c>
      <c r="G134" s="20"/>
      <c r="H134" s="18" t="e">
        <f>LOOKUP(A134,'Raw Data'!$B$1:$CQ$1,'Raw Data'!$B$9:$CQ$9)</f>
        <v>#N/A</v>
      </c>
      <c r="I134" s="21" t="str">
        <f>IF(F134&lt;&gt;"",IF(F134&gt;Constants!$F$3,"Large",IF(F134&lt;=Constants!$E$3,"Small","Medium")),"")</f>
        <v>Medium</v>
      </c>
      <c r="J134" s="21" t="e">
        <f>IF(H134&lt;&gt;"",IF(H134&gt;Constants!$F$3,"Large",IF(H134&lt;=Constants!$E$3,"Small","Medium")),"")</f>
        <v>#N/A</v>
      </c>
      <c r="K134" s="21" t="e">
        <f t="shared" si="5"/>
        <v>#N/A</v>
      </c>
    </row>
    <row r="135" spans="1:11" x14ac:dyDescent="0.25">
      <c r="A135" s="108"/>
      <c r="B135" s="18"/>
      <c r="C135" s="19"/>
      <c r="D135" s="18">
        <v>85</v>
      </c>
      <c r="E135" s="18"/>
      <c r="F135" s="18">
        <v>10000</v>
      </c>
      <c r="G135" s="20"/>
      <c r="H135" s="18" t="e">
        <f>LOOKUP(A135,'Raw Data'!$B$1:$CQ$1,'Raw Data'!$B$9:$CQ$9)</f>
        <v>#N/A</v>
      </c>
      <c r="I135" s="21" t="str">
        <f>IF(F135&lt;&gt;"",IF(F135&gt;Constants!$F$3,"Large",IF(F135&lt;=Constants!$E$3,"Small","Medium")),"")</f>
        <v>Medium</v>
      </c>
      <c r="J135" s="21" t="e">
        <f>IF(H135&lt;&gt;"",IF(H135&gt;Constants!$F$3,"Large",IF(H135&lt;=Constants!$E$3,"Small","Medium")),"")</f>
        <v>#N/A</v>
      </c>
      <c r="K135" s="21" t="e">
        <f t="shared" si="5"/>
        <v>#N/A</v>
      </c>
    </row>
    <row r="136" spans="1:11" x14ac:dyDescent="0.25">
      <c r="A136" s="108"/>
      <c r="B136" s="18"/>
      <c r="C136" s="19"/>
      <c r="D136" s="18">
        <v>80</v>
      </c>
      <c r="E136" s="18"/>
      <c r="F136" s="18">
        <v>10250</v>
      </c>
      <c r="G136" s="20"/>
      <c r="H136" s="18" t="e">
        <f>LOOKUP(A136,'Raw Data'!$B$1:$CQ$1,'Raw Data'!$B$9:$CQ$9)</f>
        <v>#N/A</v>
      </c>
      <c r="I136" s="21" t="str">
        <f>IF(F136&lt;&gt;"",IF(F136&gt;Constants!$F$3,"Large",IF(F136&lt;=Constants!$E$3,"Small","Medium")),"")</f>
        <v>Medium</v>
      </c>
      <c r="J136" s="21" t="e">
        <f>IF(H136&lt;&gt;"",IF(H136&gt;Constants!$F$3,"Large",IF(H136&lt;=Constants!$E$3,"Small","Medium")),"")</f>
        <v>#N/A</v>
      </c>
      <c r="K136" s="21" t="e">
        <f t="shared" si="5"/>
        <v>#N/A</v>
      </c>
    </row>
    <row r="137" spans="1:11" x14ac:dyDescent="0.25">
      <c r="A137" s="108"/>
      <c r="B137" s="18"/>
      <c r="C137" s="19"/>
      <c r="D137" s="18">
        <v>90</v>
      </c>
      <c r="E137" s="18"/>
      <c r="F137" s="18">
        <v>10250</v>
      </c>
      <c r="G137" s="20"/>
      <c r="H137" s="18" t="e">
        <f>LOOKUP(A137,'Raw Data'!$B$1:$CQ$1,'Raw Data'!$B$9:$CQ$9)</f>
        <v>#N/A</v>
      </c>
      <c r="I137" s="21" t="str">
        <f>IF(F137&lt;&gt;"",IF(F137&gt;Constants!$F$3,"Large",IF(F137&lt;=Constants!$E$3,"Small","Medium")),"")</f>
        <v>Medium</v>
      </c>
      <c r="J137" s="21" t="e">
        <f>IF(H137&lt;&gt;"",IF(H137&gt;Constants!$F$3,"Large",IF(H137&lt;=Constants!$E$3,"Small","Medium")),"")</f>
        <v>#N/A</v>
      </c>
      <c r="K137" s="21" t="e">
        <f t="shared" si="5"/>
        <v>#N/A</v>
      </c>
    </row>
    <row r="138" spans="1:11" x14ac:dyDescent="0.25">
      <c r="A138" s="108"/>
      <c r="B138" s="18"/>
      <c r="C138" s="19"/>
      <c r="D138" s="18">
        <v>15</v>
      </c>
      <c r="E138" s="18"/>
      <c r="F138" s="18">
        <v>11500</v>
      </c>
      <c r="G138" s="20"/>
      <c r="H138" s="18" t="e">
        <f>LOOKUP(A138,'Raw Data'!$B$1:$CQ$1,'Raw Data'!$B$9:$CQ$9)</f>
        <v>#N/A</v>
      </c>
      <c r="I138" s="21" t="str">
        <f>IF(F138&lt;&gt;"",IF(F138&gt;Constants!$F$3,"Large",IF(F138&lt;=Constants!$E$3,"Small","Medium")),"")</f>
        <v>Medium</v>
      </c>
      <c r="J138" s="21" t="e">
        <f>IF(H138&lt;&gt;"",IF(H138&gt;Constants!$F$3,"Large",IF(H138&lt;=Constants!$E$3,"Small","Medium")),"")</f>
        <v>#N/A</v>
      </c>
      <c r="K138" s="21" t="e">
        <f t="shared" si="5"/>
        <v>#N/A</v>
      </c>
    </row>
    <row r="139" spans="1:11" x14ac:dyDescent="0.25">
      <c r="B139" s="18"/>
      <c r="C139" s="19"/>
      <c r="D139" s="18">
        <v>25</v>
      </c>
      <c r="E139" s="18"/>
      <c r="F139" s="18">
        <v>13000</v>
      </c>
      <c r="G139" s="20"/>
      <c r="H139" s="18" t="e">
        <f>LOOKUP(A139,'Raw Data'!$B$1:$CQ$1,'Raw Data'!$B$9:$CQ$9)</f>
        <v>#N/A</v>
      </c>
      <c r="I139" s="21" t="str">
        <f>IF(F139&lt;&gt;"",IF(F139&gt;Constants!$F$3,"Large",IF(F139&lt;=Constants!$E$3,"Small","Medium")),"")</f>
        <v>Medium</v>
      </c>
      <c r="J139" s="21" t="e">
        <f>IF(H139&lt;&gt;"",IF(H139&gt;Constants!$F$3,"Large",IF(H139&lt;=Constants!$E$3,"Small","Medium")),"")</f>
        <v>#N/A</v>
      </c>
      <c r="K139" s="21" t="e">
        <f t="shared" si="5"/>
        <v>#N/A</v>
      </c>
    </row>
    <row r="140" spans="1:11" x14ac:dyDescent="0.25">
      <c r="A140" s="108"/>
      <c r="B140" s="18"/>
      <c r="C140" s="19"/>
      <c r="D140" s="18">
        <v>25</v>
      </c>
      <c r="E140" s="18"/>
      <c r="F140" s="18">
        <v>15000</v>
      </c>
      <c r="G140" s="20"/>
      <c r="H140" s="18" t="e">
        <f>LOOKUP(A140,'Raw Data'!$B$1:$CQ$1,'Raw Data'!$B$9:$CQ$9)</f>
        <v>#N/A</v>
      </c>
      <c r="I140" s="21" t="str">
        <f>IF(F140&lt;&gt;"",IF(F140&gt;Constants!$F$3,"Large",IF(F140&lt;=Constants!$E$3,"Small","Medium")),"")</f>
        <v>Medium</v>
      </c>
      <c r="J140" s="21" t="e">
        <f>IF(H140&lt;&gt;"",IF(H140&gt;Constants!$F$3,"Large",IF(H140&lt;=Constants!$E$3,"Small","Medium")),"")</f>
        <v>#N/A</v>
      </c>
      <c r="K140" s="21" t="e">
        <f t="shared" si="5"/>
        <v>#N/A</v>
      </c>
    </row>
    <row r="141" spans="1:11" x14ac:dyDescent="0.25">
      <c r="B141" s="18"/>
      <c r="C141" s="19"/>
      <c r="D141" s="18">
        <v>60</v>
      </c>
      <c r="E141" s="18"/>
      <c r="F141" s="18">
        <v>20000</v>
      </c>
      <c r="G141" s="20"/>
      <c r="H141" s="18" t="e">
        <f>LOOKUP(A141,'Raw Data'!$B$1:$CQ$1,'Raw Data'!$B$9:$CQ$9)</f>
        <v>#N/A</v>
      </c>
      <c r="I141" s="21" t="str">
        <f>IF(F141&lt;&gt;"",IF(F141&gt;Constants!$F$3,"Large",IF(F141&lt;=Constants!$E$3,"Small","Medium")),"")</f>
        <v>Medium</v>
      </c>
      <c r="J141" s="21" t="e">
        <f>IF(H141&lt;&gt;"",IF(H141&gt;Constants!$F$3,"Large",IF(H141&lt;=Constants!$E$3,"Small","Medium")),"")</f>
        <v>#N/A</v>
      </c>
      <c r="K141" s="21" t="e">
        <f t="shared" si="5"/>
        <v>#N/A</v>
      </c>
    </row>
    <row r="142" spans="1:11" x14ac:dyDescent="0.25">
      <c r="B142" s="18"/>
      <c r="C142" s="19"/>
      <c r="D142" s="18">
        <v>40</v>
      </c>
      <c r="E142" s="18"/>
      <c r="F142" s="18">
        <v>24800</v>
      </c>
      <c r="G142" s="20"/>
      <c r="H142" s="18" t="e">
        <f>LOOKUP(A142,'Raw Data'!$B$1:$CQ$1,'Raw Data'!$B$9:$CQ$9)</f>
        <v>#N/A</v>
      </c>
      <c r="I142" s="21" t="str">
        <f>IF(F142&lt;&gt;"",IF(F142&gt;Constants!$F$3,"Large",IF(F142&lt;=Constants!$E$3,"Small","Medium")),"")</f>
        <v>Medium</v>
      </c>
      <c r="J142" s="21" t="e">
        <f>IF(H142&lt;&gt;"",IF(H142&gt;Constants!$F$3,"Large",IF(H142&lt;=Constants!$E$3,"Small","Medium")),"")</f>
        <v>#N/A</v>
      </c>
      <c r="K142" s="21" t="e">
        <f t="shared" si="5"/>
        <v>#N/A</v>
      </c>
    </row>
    <row r="143" spans="1:11" x14ac:dyDescent="0.25">
      <c r="B143" s="18"/>
      <c r="C143" s="19"/>
      <c r="D143" s="18">
        <v>25</v>
      </c>
      <c r="E143" s="18"/>
      <c r="F143" s="18">
        <v>27572</v>
      </c>
      <c r="G143" s="20"/>
      <c r="H143" s="18" t="e">
        <f>LOOKUP(A143,'Raw Data'!$B$1:$CQ$1,'Raw Data'!$B$9:$CQ$9)</f>
        <v>#N/A</v>
      </c>
      <c r="I143" s="21" t="str">
        <f>IF(F143&lt;&gt;"",IF(F143&gt;Constants!$F$3,"Large",IF(F143&lt;=Constants!$E$3,"Small","Medium")),"")</f>
        <v>Medium</v>
      </c>
      <c r="J143" s="21" t="e">
        <f>IF(H143&lt;&gt;"",IF(H143&gt;Constants!$F$3,"Large",IF(H143&lt;=Constants!$E$3,"Small","Medium")),"")</f>
        <v>#N/A</v>
      </c>
      <c r="K143" s="21" t="e">
        <f t="shared" si="5"/>
        <v>#N/A</v>
      </c>
    </row>
    <row r="144" spans="1:11" x14ac:dyDescent="0.25">
      <c r="A144" s="108"/>
      <c r="B144" s="18"/>
      <c r="C144" s="19"/>
      <c r="D144" s="18">
        <v>40</v>
      </c>
      <c r="E144" s="18"/>
      <c r="F144" s="18">
        <v>57953</v>
      </c>
      <c r="G144" s="20"/>
      <c r="H144" s="18" t="e">
        <f>LOOKUP(A144,'Raw Data'!$B$1:$CQ$1,'Raw Data'!$B$9:$CQ$9)</f>
        <v>#N/A</v>
      </c>
      <c r="I144" s="21" t="str">
        <f>IF(F144&lt;&gt;"",IF(F144&gt;Constants!$F$3,"Large",IF(F144&lt;=Constants!$E$3,"Small","Medium")),"")</f>
        <v>Large</v>
      </c>
      <c r="J144" s="21" t="e">
        <f>IF(H144&lt;&gt;"",IF(H144&gt;Constants!$F$3,"Large",IF(H144&lt;=Constants!$E$3,"Small","Medium")),"")</f>
        <v>#N/A</v>
      </c>
      <c r="K144" s="21" t="e">
        <f t="shared" si="5"/>
        <v>#N/A</v>
      </c>
    </row>
    <row r="145" spans="1:11" x14ac:dyDescent="0.25">
      <c r="A145" s="108"/>
      <c r="B145" s="18"/>
      <c r="C145" s="19"/>
      <c r="D145" s="18">
        <v>25</v>
      </c>
      <c r="E145" s="18"/>
      <c r="F145" s="18">
        <v>66000</v>
      </c>
      <c r="G145" s="20"/>
      <c r="H145" s="18" t="e">
        <f>LOOKUP(A145,'Raw Data'!$B$1:$CQ$1,'Raw Data'!$B$9:$CQ$9)</f>
        <v>#N/A</v>
      </c>
      <c r="I145" s="21" t="str">
        <f>IF(F145&lt;&gt;"",IF(F145&gt;Constants!$F$3,"Large",IF(F145&lt;=Constants!$E$3,"Small","Medium")),"")</f>
        <v>Large</v>
      </c>
      <c r="J145" s="21" t="e">
        <f>IF(H145&lt;&gt;"",IF(H145&gt;Constants!$F$3,"Large",IF(H145&lt;=Constants!$E$3,"Small","Medium")),"")</f>
        <v>#N/A</v>
      </c>
      <c r="K145" s="21" t="e">
        <f t="shared" si="5"/>
        <v>#N/A</v>
      </c>
    </row>
    <row r="146" spans="1:11" x14ac:dyDescent="0.25">
      <c r="A146" s="108"/>
      <c r="B146" s="18"/>
      <c r="C146" s="19"/>
      <c r="D146" s="18">
        <v>60</v>
      </c>
      <c r="E146" s="18"/>
      <c r="F146" s="18">
        <v>150000</v>
      </c>
      <c r="G146" s="20"/>
      <c r="H146" s="18" t="e">
        <f>LOOKUP(A146,'Raw Data'!$B$1:$CQ$1,'Raw Data'!$B$9:$CQ$9)</f>
        <v>#N/A</v>
      </c>
      <c r="I146" s="21" t="str">
        <f>IF(F146&lt;&gt;"",IF(F146&gt;Constants!$F$3,"Large",IF(F146&lt;=Constants!$E$3,"Small","Medium")),"")</f>
        <v>Large</v>
      </c>
      <c r="J146" s="21" t="e">
        <f>IF(H146&lt;&gt;"",IF(H146&gt;Constants!$F$3,"Large",IF(H146&lt;=Constants!$E$3,"Small","Medium")),"")</f>
        <v>#N/A</v>
      </c>
      <c r="K146" s="21" t="e">
        <f t="shared" si="5"/>
        <v>#N/A</v>
      </c>
    </row>
    <row r="147" spans="1:11" x14ac:dyDescent="0.25">
      <c r="B147" s="18"/>
      <c r="C147" s="19"/>
      <c r="D147" s="18">
        <v>5</v>
      </c>
      <c r="E147" s="18"/>
      <c r="F147" s="18">
        <v>300000</v>
      </c>
      <c r="G147" s="20"/>
      <c r="H147" s="18" t="e">
        <f>LOOKUP(A147,'Raw Data'!$B$1:$CQ$1,'Raw Data'!$B$9:$CQ$9)</f>
        <v>#N/A</v>
      </c>
      <c r="I147" s="21" t="str">
        <f>IF(F147&lt;&gt;"",IF(F147&gt;Constants!$F$3,"Large",IF(F147&lt;=Constants!$E$3,"Small","Medium")),"")</f>
        <v>Large</v>
      </c>
      <c r="J147" s="21" t="e">
        <f>IF(H147&lt;&gt;"",IF(H147&gt;Constants!$F$3,"Large",IF(H147&lt;=Constants!$E$3,"Small","Medium")),"")</f>
        <v>#N/A</v>
      </c>
      <c r="K147" s="21" t="e">
        <f t="shared" si="5"/>
        <v>#N/A</v>
      </c>
    </row>
    <row r="148" spans="1:11" x14ac:dyDescent="0.25">
      <c r="B148" s="18"/>
      <c r="C148" s="19"/>
      <c r="D148" s="18">
        <v>25</v>
      </c>
      <c r="E148" s="18"/>
      <c r="F148" s="18">
        <v>315000</v>
      </c>
      <c r="G148" s="20"/>
      <c r="H148" s="18" t="e">
        <f>LOOKUP(A148,'Raw Data'!$B$1:$CQ$1,'Raw Data'!$B$9:$CQ$9)</f>
        <v>#N/A</v>
      </c>
      <c r="I148" s="21" t="str">
        <f>IF(F148&lt;&gt;"",IF(F148&gt;Constants!$F$3,"Large",IF(F148&lt;=Constants!$E$3,"Small","Medium")),"")</f>
        <v>Large</v>
      </c>
      <c r="J148" s="21" t="e">
        <f>IF(H148&lt;&gt;"",IF(H148&gt;Constants!$F$3,"Large",IF(H148&lt;=Constants!$E$3,"Small","Medium")),"")</f>
        <v>#N/A</v>
      </c>
      <c r="K148" s="21" t="e">
        <f t="shared" si="5"/>
        <v>#N/A</v>
      </c>
    </row>
    <row r="149" spans="1:11" x14ac:dyDescent="0.25">
      <c r="B149" s="18"/>
      <c r="C149" s="19"/>
      <c r="D149" s="18">
        <v>35</v>
      </c>
      <c r="E149" s="18"/>
      <c r="F149" s="18">
        <v>797800</v>
      </c>
      <c r="G149" s="20"/>
      <c r="H149" s="18" t="e">
        <f>LOOKUP(A149,'Raw Data'!$B$1:$CQ$1,'Raw Data'!$B$9:$CQ$9)</f>
        <v>#N/A</v>
      </c>
      <c r="I149" s="21" t="str">
        <f>IF(F149&lt;&gt;"",IF(F149&gt;Constants!$F$3,"Large",IF(F149&lt;=Constants!$E$3,"Small","Medium")),"")</f>
        <v>Large</v>
      </c>
      <c r="J149" s="21" t="e">
        <f>IF(H149&lt;&gt;"",IF(H149&gt;Constants!$F$3,"Large",IF(H149&lt;=Constants!$E$3,"Small","Medium")),"")</f>
        <v>#N/A</v>
      </c>
      <c r="K149" s="21" t="e">
        <f t="shared" si="5"/>
        <v>#N/A</v>
      </c>
    </row>
    <row r="150" spans="1:11" x14ac:dyDescent="0.25">
      <c r="B150" s="18"/>
      <c r="C150" s="19"/>
      <c r="D150" s="18">
        <v>15</v>
      </c>
      <c r="E150" s="18"/>
      <c r="F150" s="18">
        <v>1850000</v>
      </c>
      <c r="G150" s="20"/>
      <c r="H150" s="18" t="e">
        <f>LOOKUP(A150,'Raw Data'!$B$1:$CQ$1,'Raw Data'!$B$9:$CQ$9)</f>
        <v>#N/A</v>
      </c>
      <c r="I150" s="21" t="str">
        <f>IF(F150&lt;&gt;"",IF(F150&gt;Constants!$F$3,"Large",IF(F150&lt;=Constants!$E$3,"Small","Medium")),"")</f>
        <v>Large</v>
      </c>
      <c r="J150" s="21" t="e">
        <f>IF(H150&lt;&gt;"",IF(H150&gt;Constants!$F$3,"Large",IF(H150&lt;=Constants!$E$3,"Small","Medium")),"")</f>
        <v>#N/A</v>
      </c>
      <c r="K150" s="21" t="e">
        <f t="shared" si="5"/>
        <v>#N/A</v>
      </c>
    </row>
    <row r="151" spans="1:11" x14ac:dyDescent="0.25">
      <c r="B151" s="18"/>
      <c r="C151" s="19"/>
      <c r="D151" s="18">
        <v>5</v>
      </c>
      <c r="E151" s="18"/>
      <c r="F151" s="18" t="s">
        <v>15</v>
      </c>
      <c r="G151" s="20"/>
      <c r="H151" s="18" t="e">
        <f>LOOKUP(A151,'Raw Data'!$B$1:$CQ$1,'Raw Data'!$B$9:$CQ$9)</f>
        <v>#N/A</v>
      </c>
      <c r="I151" s="21" t="str">
        <f>IF(F151&lt;&gt;"",IF(F151&gt;Constants!$F$3,"Large",IF(F151&lt;=Constants!$E$3,"Small","Medium")),"")</f>
        <v>Large</v>
      </c>
      <c r="J151" s="21" t="e">
        <f>IF(H151&lt;&gt;"",IF(H151&gt;Constants!$F$3,"Large",IF(H151&lt;=Constants!$E$3,"Small","Medium")),"")</f>
        <v>#N/A</v>
      </c>
      <c r="K151" s="21" t="e">
        <f t="shared" si="5"/>
        <v>#N/A</v>
      </c>
    </row>
    <row r="152" spans="1:11" x14ac:dyDescent="0.25">
      <c r="B152" s="18"/>
      <c r="C152" s="19"/>
      <c r="D152" s="18">
        <v>5</v>
      </c>
      <c r="E152" s="18"/>
      <c r="F152" s="18" t="s">
        <v>15</v>
      </c>
      <c r="G152" s="20"/>
      <c r="H152" s="18" t="e">
        <f>LOOKUP(A152,'Raw Data'!$B$1:$CQ$1,'Raw Data'!$B$9:$CQ$9)</f>
        <v>#N/A</v>
      </c>
      <c r="I152" s="21" t="str">
        <f>IF(F152&lt;&gt;"",IF(F152&gt;Constants!$F$3,"Large",IF(F152&lt;=Constants!$E$3,"Small","Medium")),"")</f>
        <v>Large</v>
      </c>
      <c r="J152" s="21" t="e">
        <f>IF(H152&lt;&gt;"",IF(H152&gt;Constants!$F$3,"Large",IF(H152&lt;=Constants!$E$3,"Small","Medium")),"")</f>
        <v>#N/A</v>
      </c>
      <c r="K152" s="21" t="e">
        <f t="shared" si="5"/>
        <v>#N/A</v>
      </c>
    </row>
    <row r="153" spans="1:11" x14ac:dyDescent="0.25">
      <c r="B153" s="18"/>
      <c r="C153" s="19"/>
      <c r="D153" s="18">
        <v>5</v>
      </c>
      <c r="E153" s="18"/>
      <c r="F153" s="18" t="s">
        <v>15</v>
      </c>
      <c r="G153" s="20"/>
      <c r="H153" s="18" t="e">
        <f>LOOKUP(A153,'Raw Data'!$B$1:$CQ$1,'Raw Data'!$B$9:$CQ$9)</f>
        <v>#N/A</v>
      </c>
      <c r="I153" s="21" t="str">
        <f>IF(F153&lt;&gt;"",IF(F153&gt;Constants!$F$3,"Large",IF(F153&lt;=Constants!$E$3,"Small","Medium")),"")</f>
        <v>Large</v>
      </c>
      <c r="J153" s="21" t="e">
        <f>IF(H153&lt;&gt;"",IF(H153&gt;Constants!$F$3,"Large",IF(H153&lt;=Constants!$E$3,"Small","Medium")),"")</f>
        <v>#N/A</v>
      </c>
      <c r="K153" s="21" t="e">
        <f t="shared" si="5"/>
        <v>#N/A</v>
      </c>
    </row>
    <row r="154" spans="1:11" x14ac:dyDescent="0.25">
      <c r="B154" s="18"/>
      <c r="C154" s="19"/>
      <c r="D154" s="18">
        <v>5</v>
      </c>
      <c r="E154" s="18"/>
      <c r="F154" s="18" t="s">
        <v>15</v>
      </c>
      <c r="G154" s="20"/>
      <c r="H154" s="18" t="e">
        <f>LOOKUP(A154,'Raw Data'!$B$1:$CQ$1,'Raw Data'!$B$9:$CQ$9)</f>
        <v>#N/A</v>
      </c>
      <c r="I154" s="21" t="str">
        <f>IF(F154&lt;&gt;"",IF(F154&gt;Constants!$F$3,"Large",IF(F154&lt;=Constants!$E$3,"Small","Medium")),"")</f>
        <v>Large</v>
      </c>
      <c r="J154" s="21" t="e">
        <f>IF(H154&lt;&gt;"",IF(H154&gt;Constants!$F$3,"Large",IF(H154&lt;=Constants!$E$3,"Small","Medium")),"")</f>
        <v>#N/A</v>
      </c>
      <c r="K154" s="21" t="e">
        <f t="shared" si="5"/>
        <v>#N/A</v>
      </c>
    </row>
    <row r="155" spans="1:11" x14ac:dyDescent="0.25">
      <c r="B155" s="18"/>
      <c r="C155" s="19"/>
      <c r="D155" s="18">
        <v>5</v>
      </c>
      <c r="E155" s="18"/>
      <c r="F155" s="18" t="s">
        <v>15</v>
      </c>
      <c r="G155" s="20"/>
      <c r="H155" s="18" t="e">
        <f>LOOKUP(A155,'Raw Data'!$B$1:$CQ$1,'Raw Data'!$B$9:$CQ$9)</f>
        <v>#N/A</v>
      </c>
      <c r="I155" s="21" t="str">
        <f>IF(F155&lt;&gt;"",IF(F155&gt;Constants!$F$3,"Large",IF(F155&lt;=Constants!$E$3,"Small","Medium")),"")</f>
        <v>Large</v>
      </c>
      <c r="J155" s="21" t="e">
        <f>IF(H155&lt;&gt;"",IF(H155&gt;Constants!$F$3,"Large",IF(H155&lt;=Constants!$E$3,"Small","Medium")),"")</f>
        <v>#N/A</v>
      </c>
      <c r="K155" s="21" t="e">
        <f t="shared" si="5"/>
        <v>#N/A</v>
      </c>
    </row>
    <row r="156" spans="1:11" x14ac:dyDescent="0.25">
      <c r="B156" s="18"/>
      <c r="C156" s="19"/>
      <c r="D156" s="18">
        <v>5</v>
      </c>
      <c r="E156" s="18"/>
      <c r="F156" s="18" t="s">
        <v>15</v>
      </c>
      <c r="G156" s="20"/>
      <c r="H156" s="18" t="e">
        <f>LOOKUP(A156,'Raw Data'!$B$1:$CQ$1,'Raw Data'!$B$9:$CQ$9)</f>
        <v>#N/A</v>
      </c>
      <c r="I156" s="21" t="str">
        <f>IF(F156&lt;&gt;"",IF(F156&gt;Constants!$F$3,"Large",IF(F156&lt;=Constants!$E$3,"Small","Medium")),"")</f>
        <v>Large</v>
      </c>
      <c r="J156" s="21" t="e">
        <f>IF(H156&lt;&gt;"",IF(H156&gt;Constants!$F$3,"Large",IF(H156&lt;=Constants!$E$3,"Small","Medium")),"")</f>
        <v>#N/A</v>
      </c>
      <c r="K156" s="21" t="e">
        <f t="shared" si="5"/>
        <v>#N/A</v>
      </c>
    </row>
    <row r="157" spans="1:11" x14ac:dyDescent="0.25">
      <c r="B157" s="18"/>
      <c r="C157" s="19"/>
      <c r="D157" s="18">
        <v>15</v>
      </c>
      <c r="E157" s="18"/>
      <c r="F157" s="18" t="s">
        <v>15</v>
      </c>
      <c r="G157" s="20"/>
      <c r="H157" s="18" t="e">
        <f>LOOKUP(A157,'Raw Data'!$B$1:$CQ$1,'Raw Data'!$B$9:$CQ$9)</f>
        <v>#N/A</v>
      </c>
      <c r="I157" s="21" t="str">
        <f>IF(F157&lt;&gt;"",IF(F157&gt;Constants!$F$3,"Large",IF(F157&lt;=Constants!$E$3,"Small","Medium")),"")</f>
        <v>Large</v>
      </c>
      <c r="J157" s="21" t="e">
        <f>IF(H157&lt;&gt;"",IF(H157&gt;Constants!$F$3,"Large",IF(H157&lt;=Constants!$E$3,"Small","Medium")),"")</f>
        <v>#N/A</v>
      </c>
      <c r="K157" s="21" t="e">
        <f t="shared" si="5"/>
        <v>#N/A</v>
      </c>
    </row>
    <row r="158" spans="1:11" x14ac:dyDescent="0.25">
      <c r="B158" s="18"/>
      <c r="C158" s="19"/>
      <c r="D158" s="18">
        <v>15</v>
      </c>
      <c r="E158" s="18"/>
      <c r="F158" s="18" t="s">
        <v>15</v>
      </c>
      <c r="G158" s="20"/>
      <c r="H158" s="18" t="e">
        <f>LOOKUP(A158,'Raw Data'!$B$1:$CQ$1,'Raw Data'!$B$9:$CQ$9)</f>
        <v>#N/A</v>
      </c>
      <c r="I158" s="21" t="str">
        <f>IF(F158&lt;&gt;"",IF(F158&gt;Constants!$F$3,"Large",IF(F158&lt;=Constants!$E$3,"Small","Medium")),"")</f>
        <v>Large</v>
      </c>
      <c r="J158" s="21" t="e">
        <f>IF(H158&lt;&gt;"",IF(H158&gt;Constants!$F$3,"Large",IF(H158&lt;=Constants!$E$3,"Small","Medium")),"")</f>
        <v>#N/A</v>
      </c>
      <c r="K158" s="21" t="e">
        <f t="shared" si="5"/>
        <v>#N/A</v>
      </c>
    </row>
    <row r="159" spans="1:11" x14ac:dyDescent="0.25">
      <c r="B159" s="18"/>
      <c r="C159" s="19"/>
      <c r="D159" s="18">
        <v>15</v>
      </c>
      <c r="E159" s="18"/>
      <c r="F159" s="18" t="s">
        <v>15</v>
      </c>
      <c r="G159" s="20"/>
      <c r="H159" s="18" t="e">
        <f>LOOKUP(A159,'Raw Data'!$B$1:$CQ$1,'Raw Data'!$B$9:$CQ$9)</f>
        <v>#N/A</v>
      </c>
      <c r="I159" s="21" t="str">
        <f>IF(F159&lt;&gt;"",IF(F159&gt;Constants!$F$3,"Large",IF(F159&lt;=Constants!$E$3,"Small","Medium")),"")</f>
        <v>Large</v>
      </c>
      <c r="J159" s="21" t="e">
        <f>IF(H159&lt;&gt;"",IF(H159&gt;Constants!$F$3,"Large",IF(H159&lt;=Constants!$E$3,"Small","Medium")),"")</f>
        <v>#N/A</v>
      </c>
      <c r="K159" s="21" t="e">
        <f t="shared" si="5"/>
        <v>#N/A</v>
      </c>
    </row>
    <row r="160" spans="1:11" x14ac:dyDescent="0.25">
      <c r="B160" s="18"/>
      <c r="C160" s="19"/>
      <c r="D160" s="18">
        <v>15</v>
      </c>
      <c r="E160" s="18"/>
      <c r="F160" s="18" t="s">
        <v>15</v>
      </c>
      <c r="G160" s="20"/>
      <c r="H160" s="18" t="e">
        <f>LOOKUP(A160,'Raw Data'!$B$1:$CQ$1,'Raw Data'!$B$9:$CQ$9)</f>
        <v>#N/A</v>
      </c>
      <c r="I160" s="21" t="str">
        <f>IF(F160&lt;&gt;"",IF(F160&gt;Constants!$F$3,"Large",IF(F160&lt;=Constants!$E$3,"Small","Medium")),"")</f>
        <v>Large</v>
      </c>
      <c r="J160" s="21" t="e">
        <f>IF(H160&lt;&gt;"",IF(H160&gt;Constants!$F$3,"Large",IF(H160&lt;=Constants!$E$3,"Small","Medium")),"")</f>
        <v>#N/A</v>
      </c>
      <c r="K160" s="21" t="e">
        <f t="shared" si="5"/>
        <v>#N/A</v>
      </c>
    </row>
    <row r="161" spans="1:11" x14ac:dyDescent="0.25">
      <c r="B161" s="18"/>
      <c r="C161" s="19"/>
      <c r="D161" s="18">
        <v>15</v>
      </c>
      <c r="E161" s="18"/>
      <c r="F161" s="18" t="s">
        <v>15</v>
      </c>
      <c r="G161" s="20"/>
      <c r="H161" s="18" t="e">
        <f>LOOKUP(A161,'Raw Data'!$B$1:$CQ$1,'Raw Data'!$B$9:$CQ$9)</f>
        <v>#N/A</v>
      </c>
      <c r="I161" s="21" t="str">
        <f>IF(F161&lt;&gt;"",IF(F161&gt;Constants!$F$3,"Large",IF(F161&lt;=Constants!$E$3,"Small","Medium")),"")</f>
        <v>Large</v>
      </c>
      <c r="J161" s="21" t="e">
        <f>IF(H161&lt;&gt;"",IF(H161&gt;Constants!$F$3,"Large",IF(H161&lt;=Constants!$E$3,"Small","Medium")),"")</f>
        <v>#N/A</v>
      </c>
      <c r="K161" s="21" t="e">
        <f t="shared" si="5"/>
        <v>#N/A</v>
      </c>
    </row>
    <row r="162" spans="1:11" x14ac:dyDescent="0.25">
      <c r="B162" s="18"/>
      <c r="C162" s="19"/>
      <c r="D162" s="18">
        <v>25</v>
      </c>
      <c r="E162" s="18"/>
      <c r="F162" s="18" t="s">
        <v>15</v>
      </c>
      <c r="G162" s="20"/>
      <c r="H162" s="18" t="e">
        <f>LOOKUP(A162,'Raw Data'!$B$1:$CQ$1,'Raw Data'!$B$9:$CQ$9)</f>
        <v>#N/A</v>
      </c>
      <c r="I162" s="21" t="str">
        <f>IF(F162&lt;&gt;"",IF(F162&gt;Constants!$F$3,"Large",IF(F162&lt;=Constants!$E$3,"Small","Medium")),"")</f>
        <v>Large</v>
      </c>
      <c r="J162" s="21" t="e">
        <f>IF(H162&lt;&gt;"",IF(H162&gt;Constants!$F$3,"Large",IF(H162&lt;=Constants!$E$3,"Small","Medium")),"")</f>
        <v>#N/A</v>
      </c>
      <c r="K162" s="21" t="e">
        <f t="shared" ref="K162:K176" si="6">J162=I162</f>
        <v>#N/A</v>
      </c>
    </row>
    <row r="163" spans="1:11" x14ac:dyDescent="0.25">
      <c r="B163" s="18"/>
      <c r="C163" s="19"/>
      <c r="D163" s="18">
        <v>35</v>
      </c>
      <c r="E163" s="18"/>
      <c r="F163" s="18" t="s">
        <v>15</v>
      </c>
      <c r="G163" s="20"/>
      <c r="H163" s="18" t="e">
        <f>LOOKUP(A163,'Raw Data'!$B$1:$CQ$1,'Raw Data'!$B$9:$CQ$9)</f>
        <v>#N/A</v>
      </c>
      <c r="I163" s="21" t="str">
        <f>IF(F163&lt;&gt;"",IF(F163&gt;Constants!$F$3,"Large",IF(F163&lt;=Constants!$E$3,"Small","Medium")),"")</f>
        <v>Large</v>
      </c>
      <c r="J163" s="21" t="e">
        <f>IF(H163&lt;&gt;"",IF(H163&gt;Constants!$F$3,"Large",IF(H163&lt;=Constants!$E$3,"Small","Medium")),"")</f>
        <v>#N/A</v>
      </c>
      <c r="K163" s="21" t="e">
        <f t="shared" si="6"/>
        <v>#N/A</v>
      </c>
    </row>
    <row r="164" spans="1:11" x14ac:dyDescent="0.25">
      <c r="A164" s="108"/>
      <c r="B164" s="18"/>
      <c r="C164" s="19"/>
      <c r="D164" s="18">
        <v>35</v>
      </c>
      <c r="E164" s="18"/>
      <c r="F164" s="18" t="s">
        <v>15</v>
      </c>
      <c r="G164" s="20"/>
      <c r="H164" s="18" t="e">
        <f>LOOKUP(A164,'Raw Data'!$B$1:$CQ$1,'Raw Data'!$B$9:$CQ$9)</f>
        <v>#N/A</v>
      </c>
      <c r="I164" s="21" t="str">
        <f>IF(F164&lt;&gt;"",IF(F164&gt;Constants!$F$3,"Large",IF(F164&lt;=Constants!$E$3,"Small","Medium")),"")</f>
        <v>Large</v>
      </c>
      <c r="J164" s="21" t="e">
        <f>IF(H164&lt;&gt;"",IF(H164&gt;Constants!$F$3,"Large",IF(H164&lt;=Constants!$E$3,"Small","Medium")),"")</f>
        <v>#N/A</v>
      </c>
      <c r="K164" s="21" t="e">
        <f t="shared" si="6"/>
        <v>#N/A</v>
      </c>
    </row>
    <row r="165" spans="1:11" x14ac:dyDescent="0.25">
      <c r="B165" s="18"/>
      <c r="C165" s="19"/>
      <c r="D165" s="18">
        <v>50</v>
      </c>
      <c r="E165" s="18"/>
      <c r="F165" s="18" t="s">
        <v>15</v>
      </c>
      <c r="G165" s="20"/>
      <c r="H165" s="18" t="e">
        <f>LOOKUP(A165,'Raw Data'!$B$1:$CQ$1,'Raw Data'!$B$9:$CQ$9)</f>
        <v>#N/A</v>
      </c>
      <c r="I165" s="21" t="str">
        <f>IF(F165&lt;&gt;"",IF(F165&gt;Constants!$F$3,"Large",IF(F165&lt;=Constants!$E$3,"Small","Medium")),"")</f>
        <v>Large</v>
      </c>
      <c r="J165" s="21" t="e">
        <f>IF(H165&lt;&gt;"",IF(H165&gt;Constants!$F$3,"Large",IF(H165&lt;=Constants!$E$3,"Small","Medium")),"")</f>
        <v>#N/A</v>
      </c>
      <c r="K165" s="21" t="e">
        <f t="shared" si="6"/>
        <v>#N/A</v>
      </c>
    </row>
    <row r="166" spans="1:11" x14ac:dyDescent="0.25">
      <c r="B166" s="18"/>
      <c r="C166" s="19"/>
      <c r="D166" s="18">
        <v>50</v>
      </c>
      <c r="E166" s="18"/>
      <c r="F166" s="18" t="s">
        <v>15</v>
      </c>
      <c r="G166" s="20"/>
      <c r="H166" s="18" t="e">
        <f>LOOKUP(A166,'Raw Data'!$B$1:$CQ$1,'Raw Data'!$B$9:$CQ$9)</f>
        <v>#N/A</v>
      </c>
      <c r="I166" s="21" t="str">
        <f>IF(F166&lt;&gt;"",IF(F166&gt;Constants!$F$3,"Large",IF(F166&lt;=Constants!$E$3,"Small","Medium")),"")</f>
        <v>Large</v>
      </c>
      <c r="J166" s="21" t="e">
        <f>IF(H166&lt;&gt;"",IF(H166&gt;Constants!$F$3,"Large",IF(H166&lt;=Constants!$E$3,"Small","Medium")),"")</f>
        <v>#N/A</v>
      </c>
      <c r="K166" s="21" t="e">
        <f t="shared" si="6"/>
        <v>#N/A</v>
      </c>
    </row>
    <row r="167" spans="1:11" x14ac:dyDescent="0.25">
      <c r="A167" s="108"/>
      <c r="B167" s="18"/>
      <c r="C167" s="19"/>
      <c r="D167" s="18">
        <v>60</v>
      </c>
      <c r="E167" s="18"/>
      <c r="F167" s="18" t="s">
        <v>15</v>
      </c>
      <c r="G167" s="20"/>
      <c r="H167" s="18" t="e">
        <f>LOOKUP(A167,'Raw Data'!$B$1:$CQ$1,'Raw Data'!$B$9:$CQ$9)</f>
        <v>#N/A</v>
      </c>
      <c r="I167" s="21" t="str">
        <f>IF(F167&lt;&gt;"",IF(F167&gt;Constants!$F$3,"Large",IF(F167&lt;=Constants!$E$3,"Small","Medium")),"")</f>
        <v>Large</v>
      </c>
      <c r="J167" s="21" t="e">
        <f>IF(H167&lt;&gt;"",IF(H167&gt;Constants!$F$3,"Large",IF(H167&lt;=Constants!$E$3,"Small","Medium")),"")</f>
        <v>#N/A</v>
      </c>
      <c r="K167" s="21" t="e">
        <f t="shared" si="6"/>
        <v>#N/A</v>
      </c>
    </row>
    <row r="168" spans="1:11" x14ac:dyDescent="0.25">
      <c r="A168" s="108"/>
      <c r="B168" s="18"/>
      <c r="C168" s="19"/>
      <c r="D168" s="18">
        <v>80</v>
      </c>
      <c r="E168" s="18"/>
      <c r="F168" s="18" t="s">
        <v>15</v>
      </c>
      <c r="G168" s="20"/>
      <c r="H168" s="18" t="e">
        <f>LOOKUP(A168,'Raw Data'!$B$1:$CQ$1,'Raw Data'!$B$9:$CQ$9)</f>
        <v>#N/A</v>
      </c>
      <c r="I168" s="21" t="str">
        <f>IF(F168&lt;&gt;"",IF(F168&gt;Constants!$F$3,"Large",IF(F168&lt;=Constants!$E$3,"Small","Medium")),"")</f>
        <v>Large</v>
      </c>
      <c r="J168" s="21" t="e">
        <f>IF(H168&lt;&gt;"",IF(H168&gt;Constants!$F$3,"Large",IF(H168&lt;=Constants!$E$3,"Small","Medium")),"")</f>
        <v>#N/A</v>
      </c>
      <c r="K168" s="21" t="e">
        <f t="shared" si="6"/>
        <v>#N/A</v>
      </c>
    </row>
    <row r="169" spans="1:11" x14ac:dyDescent="0.25">
      <c r="B169" s="18"/>
      <c r="C169" s="19"/>
      <c r="D169" s="18">
        <v>80</v>
      </c>
      <c r="E169" s="18"/>
      <c r="F169" s="18" t="s">
        <v>15</v>
      </c>
      <c r="G169" s="20"/>
      <c r="H169" s="18" t="e">
        <f>LOOKUP(A169,'Raw Data'!$B$1:$CQ$1,'Raw Data'!$B$9:$CQ$9)</f>
        <v>#N/A</v>
      </c>
      <c r="I169" s="21" t="str">
        <f>IF(F169&lt;&gt;"",IF(F169&gt;Constants!$F$3,"Large",IF(F169&lt;=Constants!$E$3,"Small","Medium")),"")</f>
        <v>Large</v>
      </c>
      <c r="J169" s="21" t="e">
        <f>IF(H169&lt;&gt;"",IF(H169&gt;Constants!$F$3,"Large",IF(H169&lt;=Constants!$E$3,"Small","Medium")),"")</f>
        <v>#N/A</v>
      </c>
      <c r="K169" s="21" t="e">
        <f t="shared" si="6"/>
        <v>#N/A</v>
      </c>
    </row>
    <row r="170" spans="1:11" x14ac:dyDescent="0.25">
      <c r="B170" s="18"/>
      <c r="C170" s="19"/>
      <c r="D170" s="18">
        <v>80</v>
      </c>
      <c r="E170" s="18"/>
      <c r="F170" s="18" t="s">
        <v>15</v>
      </c>
      <c r="G170" s="20"/>
      <c r="H170" s="18" t="e">
        <f>LOOKUP(A170,'Raw Data'!$B$1:$CQ$1,'Raw Data'!$B$9:$CQ$9)</f>
        <v>#N/A</v>
      </c>
      <c r="I170" s="21" t="str">
        <f>IF(F170&lt;&gt;"",IF(F170&gt;Constants!$F$3,"Large",IF(F170&lt;=Constants!$E$3,"Small","Medium")),"")</f>
        <v>Large</v>
      </c>
      <c r="J170" s="21" t="e">
        <f>IF(H170&lt;&gt;"",IF(H170&gt;Constants!$F$3,"Large",IF(H170&lt;=Constants!$E$3,"Small","Medium")),"")</f>
        <v>#N/A</v>
      </c>
      <c r="K170" s="21" t="e">
        <f t="shared" si="6"/>
        <v>#N/A</v>
      </c>
    </row>
    <row r="171" spans="1:11" x14ac:dyDescent="0.25">
      <c r="B171" s="18"/>
      <c r="C171" s="19"/>
      <c r="D171" s="18">
        <v>80</v>
      </c>
      <c r="E171" s="18"/>
      <c r="F171" s="18" t="s">
        <v>15</v>
      </c>
      <c r="G171" s="20"/>
      <c r="H171" s="18" t="e">
        <f>LOOKUP(A171,'Raw Data'!$B$1:$CQ$1,'Raw Data'!$B$9:$CQ$9)</f>
        <v>#N/A</v>
      </c>
      <c r="I171" s="21" t="str">
        <f>IF(F171&lt;&gt;"",IF(F171&gt;Constants!$F$3,"Large",IF(F171&lt;=Constants!$E$3,"Small","Medium")),"")</f>
        <v>Large</v>
      </c>
      <c r="J171" s="21" t="e">
        <f>IF(H171&lt;&gt;"",IF(H171&gt;Constants!$F$3,"Large",IF(H171&lt;=Constants!$E$3,"Small","Medium")),"")</f>
        <v>#N/A</v>
      </c>
      <c r="K171" s="21" t="e">
        <f t="shared" si="6"/>
        <v>#N/A</v>
      </c>
    </row>
    <row r="172" spans="1:11" x14ac:dyDescent="0.25">
      <c r="B172" s="18"/>
      <c r="C172" s="19"/>
      <c r="D172" s="18">
        <v>85</v>
      </c>
      <c r="E172" s="18"/>
      <c r="F172" s="18" t="s">
        <v>15</v>
      </c>
      <c r="G172" s="20"/>
      <c r="H172" s="18" t="e">
        <f>LOOKUP(A172,'Raw Data'!$B$1:$CQ$1,'Raw Data'!$B$9:$CQ$9)</f>
        <v>#N/A</v>
      </c>
      <c r="I172" s="21" t="str">
        <f>IF(F172&lt;&gt;"",IF(F172&gt;Constants!$F$3,"Large",IF(F172&lt;=Constants!$E$3,"Small","Medium")),"")</f>
        <v>Large</v>
      </c>
      <c r="J172" s="21" t="e">
        <f>IF(H172&lt;&gt;"",IF(H172&gt;Constants!$F$3,"Large",IF(H172&lt;=Constants!$E$3,"Small","Medium")),"")</f>
        <v>#N/A</v>
      </c>
      <c r="K172" s="21" t="e">
        <f t="shared" si="6"/>
        <v>#N/A</v>
      </c>
    </row>
    <row r="173" spans="1:11" x14ac:dyDescent="0.25">
      <c r="B173" s="18"/>
      <c r="C173" s="19"/>
      <c r="D173" s="18">
        <v>85</v>
      </c>
      <c r="E173" s="18"/>
      <c r="F173" s="18" t="s">
        <v>15</v>
      </c>
      <c r="G173" s="20"/>
      <c r="H173" s="18" t="e">
        <f>LOOKUP(A173,'Raw Data'!$B$1:$CQ$1,'Raw Data'!$B$9:$CQ$9)</f>
        <v>#N/A</v>
      </c>
      <c r="I173" s="21" t="str">
        <f>IF(F173&lt;&gt;"",IF(F173&gt;Constants!$F$3,"Large",IF(F173&lt;=Constants!$E$3,"Small","Medium")),"")</f>
        <v>Large</v>
      </c>
      <c r="J173" s="21" t="e">
        <f>IF(H173&lt;&gt;"",IF(H173&gt;Constants!$F$3,"Large",IF(H173&lt;=Constants!$E$3,"Small","Medium")),"")</f>
        <v>#N/A</v>
      </c>
      <c r="K173" s="21" t="e">
        <f t="shared" si="6"/>
        <v>#N/A</v>
      </c>
    </row>
    <row r="174" spans="1:11" x14ac:dyDescent="0.25">
      <c r="B174" s="18"/>
      <c r="C174" s="19"/>
      <c r="D174" s="18">
        <v>85</v>
      </c>
      <c r="E174" s="18"/>
      <c r="F174" s="18" t="s">
        <v>15</v>
      </c>
      <c r="G174" s="20"/>
      <c r="H174" s="18" t="e">
        <f>LOOKUP(A174,'Raw Data'!$B$1:$CQ$1,'Raw Data'!$B$9:$CQ$9)</f>
        <v>#N/A</v>
      </c>
      <c r="I174" s="21" t="str">
        <f>IF(F174&lt;&gt;"",IF(F174&gt;Constants!$F$3,"Large",IF(F174&lt;=Constants!$E$3,"Small","Medium")),"")</f>
        <v>Large</v>
      </c>
      <c r="J174" s="21" t="e">
        <f>IF(H174&lt;&gt;"",IF(H174&gt;Constants!$F$3,"Large",IF(H174&lt;=Constants!$E$3,"Small","Medium")),"")</f>
        <v>#N/A</v>
      </c>
      <c r="K174" s="21" t="e">
        <f t="shared" si="6"/>
        <v>#N/A</v>
      </c>
    </row>
    <row r="175" spans="1:11" x14ac:dyDescent="0.25">
      <c r="B175" s="18"/>
      <c r="C175" s="19"/>
      <c r="D175" s="18">
        <v>85</v>
      </c>
      <c r="E175" s="18"/>
      <c r="F175" s="18" t="s">
        <v>15</v>
      </c>
      <c r="G175" s="20"/>
      <c r="H175" s="18" t="e">
        <f>LOOKUP(A175,'Raw Data'!$B$1:$CQ$1,'Raw Data'!$B$9:$CQ$9)</f>
        <v>#N/A</v>
      </c>
      <c r="I175" s="21" t="str">
        <f>IF(F175&lt;&gt;"",IF(F175&gt;Constants!$F$3,"Large",IF(F175&lt;=Constants!$E$3,"Small","Medium")),"")</f>
        <v>Large</v>
      </c>
      <c r="J175" s="21" t="e">
        <f>IF(H175&lt;&gt;"",IF(H175&gt;Constants!$F$3,"Large",IF(H175&lt;=Constants!$E$3,"Small","Medium")),"")</f>
        <v>#N/A</v>
      </c>
      <c r="K175" s="21" t="e">
        <f t="shared" si="6"/>
        <v>#N/A</v>
      </c>
    </row>
    <row r="176" spans="1:11" x14ac:dyDescent="0.25">
      <c r="B176" s="18"/>
      <c r="C176" s="19"/>
      <c r="D176" s="18">
        <v>85</v>
      </c>
      <c r="E176" s="18"/>
      <c r="F176" s="18" t="s">
        <v>15</v>
      </c>
      <c r="G176" s="20"/>
      <c r="H176" s="18" t="e">
        <f>LOOKUP(A176,'Raw Data'!$B$1:$CQ$1,'Raw Data'!$B$9:$CQ$9)</f>
        <v>#N/A</v>
      </c>
      <c r="I176" s="21" t="str">
        <f>IF(F176&lt;&gt;"",IF(F176&gt;Constants!$F$3,"Large",IF(F176&lt;=Constants!$E$3,"Small","Medium")),"")</f>
        <v>Large</v>
      </c>
      <c r="J176" s="21" t="e">
        <f>IF(H176&lt;&gt;"",IF(H176&gt;Constants!$F$3,"Large",IF(H176&lt;=Constants!$E$3,"Small","Medium")),"")</f>
        <v>#N/A</v>
      </c>
      <c r="K176" s="21" t="e">
        <f t="shared" si="6"/>
        <v>#N/A</v>
      </c>
    </row>
    <row r="177" spans="1:1" x14ac:dyDescent="0.25">
      <c r="A177" s="66"/>
    </row>
  </sheetData>
  <autoFilter ref="A1:K176">
    <sortState ref="A2:K176">
      <sortCondition ref="A1:A176"/>
    </sortState>
  </autoFilter>
  <sortState ref="A2:J171">
    <sortCondition ref="A2:A171"/>
    <sortCondition ref="D2:D171"/>
  </sortState>
  <mergeCells count="2">
    <mergeCell ref="AB1:AK1"/>
    <mergeCell ref="T1:W1"/>
  </mergeCells>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D38"/>
  <sheetViews>
    <sheetView zoomScaleNormal="100" workbookViewId="0">
      <pane xSplit="1" ySplit="1" topLeftCell="B2" activePane="bottomRight" state="frozen"/>
      <selection pane="topRight" activeCell="B1" sqref="B1"/>
      <selection pane="bottomLeft" activeCell="A2" sqref="A2"/>
      <selection pane="bottomRight" activeCell="C7" sqref="C7"/>
    </sheetView>
  </sheetViews>
  <sheetFormatPr defaultColWidth="15.7109375" defaultRowHeight="15" x14ac:dyDescent="0.25"/>
  <cols>
    <col min="1" max="1" width="5.42578125" bestFit="1" customWidth="1"/>
  </cols>
  <sheetData>
    <row r="1" spans="1:108" s="71" customFormat="1" x14ac:dyDescent="0.25">
      <c r="A1" s="71" t="s">
        <v>0</v>
      </c>
      <c r="B1" s="71" t="s">
        <v>67</v>
      </c>
      <c r="C1" s="71" t="s">
        <v>64</v>
      </c>
      <c r="D1" s="71" t="s">
        <v>66</v>
      </c>
      <c r="E1" s="71" t="s">
        <v>53</v>
      </c>
      <c r="F1" s="71" t="s">
        <v>54</v>
      </c>
      <c r="G1" s="71" t="s">
        <v>55</v>
      </c>
      <c r="H1" s="71" t="s">
        <v>56</v>
      </c>
      <c r="I1" s="71" t="s">
        <v>57</v>
      </c>
      <c r="J1" s="71" t="s">
        <v>58</v>
      </c>
      <c r="K1" s="71" t="s">
        <v>59</v>
      </c>
      <c r="L1" s="71" t="s">
        <v>133</v>
      </c>
      <c r="M1" s="71" t="s">
        <v>134</v>
      </c>
      <c r="N1" s="71" t="s">
        <v>135</v>
      </c>
      <c r="O1" s="71" t="s">
        <v>136</v>
      </c>
      <c r="P1" s="71" t="s">
        <v>145</v>
      </c>
      <c r="Q1" s="71" t="s">
        <v>146</v>
      </c>
      <c r="R1" s="71" t="s">
        <v>147</v>
      </c>
      <c r="S1" s="71" t="s">
        <v>148</v>
      </c>
      <c r="T1" s="71" t="s">
        <v>149</v>
      </c>
      <c r="U1" s="71" t="s">
        <v>150</v>
      </c>
      <c r="V1" s="71" t="s">
        <v>151</v>
      </c>
      <c r="W1" s="71" t="s">
        <v>152</v>
      </c>
      <c r="X1" s="71" t="s">
        <v>153</v>
      </c>
      <c r="Y1" s="71" t="s">
        <v>154</v>
      </c>
      <c r="Z1" s="71" t="s">
        <v>162</v>
      </c>
      <c r="AA1" s="71" t="s">
        <v>163</v>
      </c>
      <c r="AB1" s="71" t="s">
        <v>164</v>
      </c>
      <c r="AC1" s="71" t="s">
        <v>165</v>
      </c>
      <c r="AD1" s="71" t="s">
        <v>166</v>
      </c>
      <c r="AE1" s="71" t="s">
        <v>167</v>
      </c>
      <c r="AF1" s="71" t="s">
        <v>168</v>
      </c>
      <c r="AG1" s="71" t="s">
        <v>169</v>
      </c>
      <c r="AH1" s="71" t="s">
        <v>170</v>
      </c>
      <c r="AI1" s="71" t="s">
        <v>171</v>
      </c>
      <c r="AJ1" s="71" t="s">
        <v>172</v>
      </c>
      <c r="AK1" s="71" t="s">
        <v>173</v>
      </c>
      <c r="AL1" s="71" t="s">
        <v>174</v>
      </c>
      <c r="AM1" s="71" t="s">
        <v>175</v>
      </c>
      <c r="AN1" s="71" t="s">
        <v>176</v>
      </c>
      <c r="AO1" s="71" t="s">
        <v>177</v>
      </c>
      <c r="AP1" s="71" t="s">
        <v>178</v>
      </c>
      <c r="AQ1" s="71" t="s">
        <v>179</v>
      </c>
      <c r="AR1" s="71" t="s">
        <v>180</v>
      </c>
      <c r="AS1" s="71" t="s">
        <v>181</v>
      </c>
      <c r="AT1" s="71" t="s">
        <v>182</v>
      </c>
      <c r="AU1" s="71" t="s">
        <v>183</v>
      </c>
      <c r="AV1" s="71" t="s">
        <v>184</v>
      </c>
      <c r="AW1" s="71" t="s">
        <v>185</v>
      </c>
      <c r="AX1" s="71" t="s">
        <v>186</v>
      </c>
      <c r="AY1" s="71" t="s">
        <v>187</v>
      </c>
      <c r="AZ1" s="71" t="s">
        <v>188</v>
      </c>
      <c r="BA1" s="71" t="s">
        <v>189</v>
      </c>
      <c r="BB1" s="71" t="s">
        <v>190</v>
      </c>
      <c r="BC1" s="71" t="s">
        <v>191</v>
      </c>
      <c r="BD1" s="71" t="s">
        <v>192</v>
      </c>
      <c r="BE1" s="71" t="s">
        <v>193</v>
      </c>
      <c r="BF1" s="71" t="s">
        <v>194</v>
      </c>
      <c r="BG1" s="71" t="s">
        <v>195</v>
      </c>
      <c r="BH1" s="71" t="s">
        <v>196</v>
      </c>
      <c r="BI1" s="71" t="s">
        <v>197</v>
      </c>
      <c r="BJ1" s="71" t="s">
        <v>198</v>
      </c>
      <c r="BK1" s="71" t="s">
        <v>199</v>
      </c>
      <c r="BL1" s="71" t="s">
        <v>200</v>
      </c>
      <c r="BM1" s="71" t="s">
        <v>201</v>
      </c>
      <c r="BN1" s="71" t="s">
        <v>202</v>
      </c>
      <c r="BO1" s="71" t="s">
        <v>203</v>
      </c>
      <c r="BP1" s="71" t="s">
        <v>204</v>
      </c>
      <c r="BQ1" s="71" t="s">
        <v>205</v>
      </c>
      <c r="BR1" s="71" t="s">
        <v>206</v>
      </c>
      <c r="BS1" s="71" t="s">
        <v>207</v>
      </c>
      <c r="BT1" s="71" t="s">
        <v>208</v>
      </c>
      <c r="BU1" s="71" t="s">
        <v>209</v>
      </c>
      <c r="BV1" s="71" t="s">
        <v>216</v>
      </c>
      <c r="BW1" s="71" t="s">
        <v>217</v>
      </c>
      <c r="BX1" s="71" t="s">
        <v>218</v>
      </c>
      <c r="BY1" s="71" t="s">
        <v>219</v>
      </c>
      <c r="BZ1" s="71" t="s">
        <v>289</v>
      </c>
      <c r="CA1" s="71" t="s">
        <v>290</v>
      </c>
      <c r="CB1" s="71" t="s">
        <v>291</v>
      </c>
      <c r="CC1" s="71" t="s">
        <v>292</v>
      </c>
      <c r="CD1" s="71" t="s">
        <v>293</v>
      </c>
      <c r="CE1" s="71" t="s">
        <v>294</v>
      </c>
      <c r="CF1" s="71" t="s">
        <v>295</v>
      </c>
      <c r="CG1" s="71" t="s">
        <v>296</v>
      </c>
      <c r="CH1" s="71" t="s">
        <v>297</v>
      </c>
      <c r="CI1" s="71" t="s">
        <v>298</v>
      </c>
      <c r="CJ1" s="71" t="s">
        <v>299</v>
      </c>
      <c r="CK1" s="71" t="s">
        <v>300</v>
      </c>
      <c r="CL1" s="71" t="s">
        <v>301</v>
      </c>
      <c r="CM1" s="71" t="s">
        <v>302</v>
      </c>
      <c r="CN1" s="71" t="s">
        <v>303</v>
      </c>
      <c r="CO1" s="71" t="s">
        <v>304</v>
      </c>
      <c r="CP1" s="71" t="s">
        <v>305</v>
      </c>
      <c r="CQ1" s="71" t="s">
        <v>306</v>
      </c>
      <c r="CR1" s="168" t="s">
        <v>317</v>
      </c>
      <c r="CS1" s="168" t="s">
        <v>318</v>
      </c>
      <c r="CT1" s="168" t="s">
        <v>319</v>
      </c>
      <c r="CU1" s="168" t="s">
        <v>320</v>
      </c>
      <c r="CV1" s="168" t="s">
        <v>321</v>
      </c>
      <c r="CW1" s="168" t="s">
        <v>322</v>
      </c>
      <c r="CX1" s="168" t="s">
        <v>323</v>
      </c>
      <c r="CY1" s="168" t="s">
        <v>324</v>
      </c>
      <c r="CZ1" s="168" t="s">
        <v>325</v>
      </c>
      <c r="DA1" s="168" t="s">
        <v>326</v>
      </c>
      <c r="DB1" s="168" t="s">
        <v>327</v>
      </c>
      <c r="DC1" s="168" t="s">
        <v>328</v>
      </c>
      <c r="DD1" s="168" t="s">
        <v>329</v>
      </c>
    </row>
    <row r="2" spans="1:108" s="30" customFormat="1" ht="30" x14ac:dyDescent="0.25">
      <c r="A2" s="82" t="s">
        <v>19</v>
      </c>
      <c r="B2" s="435" t="s">
        <v>393</v>
      </c>
      <c r="C2" s="83"/>
      <c r="D2" s="83"/>
      <c r="E2" s="83"/>
      <c r="F2" s="83"/>
      <c r="G2" s="83"/>
      <c r="H2" s="83"/>
      <c r="I2" s="83"/>
      <c r="J2" s="83"/>
      <c r="K2" s="83"/>
      <c r="L2" s="84"/>
      <c r="M2" s="84"/>
      <c r="N2" s="84"/>
      <c r="O2" s="84"/>
      <c r="P2" s="85"/>
      <c r="V2" s="7"/>
      <c r="W2" s="7"/>
      <c r="X2" s="7"/>
      <c r="Y2" s="7"/>
    </row>
    <row r="3" spans="1:108" x14ac:dyDescent="0.25">
      <c r="A3" s="1" t="s">
        <v>20</v>
      </c>
      <c r="B3" s="5">
        <v>41579</v>
      </c>
      <c r="C3" s="5">
        <v>41582</v>
      </c>
      <c r="D3" s="5">
        <v>41582</v>
      </c>
      <c r="E3" s="5">
        <v>41582</v>
      </c>
      <c r="F3" s="5">
        <v>41583</v>
      </c>
      <c r="G3" s="5">
        <v>41583</v>
      </c>
      <c r="H3" s="5">
        <v>41583</v>
      </c>
      <c r="I3" s="5">
        <v>41583</v>
      </c>
      <c r="J3" s="5">
        <v>41584</v>
      </c>
      <c r="K3" s="5">
        <v>41584</v>
      </c>
      <c r="L3" s="55">
        <v>41584</v>
      </c>
      <c r="M3" s="55">
        <v>41585</v>
      </c>
      <c r="N3" s="55">
        <v>41585</v>
      </c>
      <c r="O3" s="55">
        <v>41585</v>
      </c>
      <c r="P3" s="73">
        <v>41584</v>
      </c>
      <c r="Q3" s="73">
        <v>41585</v>
      </c>
      <c r="R3" s="73">
        <v>41585</v>
      </c>
      <c r="S3" s="73">
        <v>41585</v>
      </c>
      <c r="T3" s="73">
        <v>41585</v>
      </c>
      <c r="U3" s="73">
        <v>41585</v>
      </c>
      <c r="V3" s="73">
        <v>41586</v>
      </c>
      <c r="W3" s="73">
        <v>41586</v>
      </c>
      <c r="X3" s="73">
        <v>41586</v>
      </c>
      <c r="Y3" s="73">
        <v>41586</v>
      </c>
      <c r="Z3" s="79">
        <v>41582</v>
      </c>
      <c r="AA3" s="79">
        <v>41585</v>
      </c>
      <c r="AB3" s="79">
        <v>41585</v>
      </c>
      <c r="AC3" s="79">
        <v>41586</v>
      </c>
      <c r="AD3" s="79">
        <v>41586</v>
      </c>
      <c r="AE3" s="79">
        <v>41590</v>
      </c>
      <c r="AF3" s="79">
        <v>41590</v>
      </c>
      <c r="AG3" s="79">
        <v>41590</v>
      </c>
      <c r="AH3" s="79">
        <v>41590</v>
      </c>
      <c r="AI3" s="79">
        <v>41590</v>
      </c>
      <c r="AJ3" s="79">
        <v>41590</v>
      </c>
      <c r="AK3" s="79">
        <v>41583</v>
      </c>
      <c r="AL3" s="79">
        <v>41583</v>
      </c>
      <c r="AM3" s="79">
        <v>41584</v>
      </c>
      <c r="AN3" s="79">
        <v>41585</v>
      </c>
      <c r="AO3" s="79">
        <v>41586</v>
      </c>
      <c r="AP3" s="79">
        <v>41590</v>
      </c>
      <c r="AQ3" s="79">
        <v>41591</v>
      </c>
      <c r="AR3" s="79">
        <v>41591</v>
      </c>
      <c r="AS3" s="79">
        <v>41590</v>
      </c>
      <c r="AT3" s="79">
        <v>41591</v>
      </c>
      <c r="AU3" s="79">
        <v>41591</v>
      </c>
      <c r="AV3" s="79">
        <v>41591</v>
      </c>
      <c r="AW3" s="79">
        <v>41591</v>
      </c>
      <c r="AX3" s="79">
        <v>41591</v>
      </c>
      <c r="AY3" s="79">
        <v>41589</v>
      </c>
      <c r="AZ3" s="79">
        <v>41590</v>
      </c>
      <c r="BA3" s="79">
        <v>41591</v>
      </c>
      <c r="BB3" t="s">
        <v>210</v>
      </c>
      <c r="BC3" s="79">
        <v>41583</v>
      </c>
      <c r="BD3" s="79">
        <v>41584</v>
      </c>
      <c r="BE3" s="79">
        <v>41585</v>
      </c>
      <c r="BG3" s="79">
        <v>41585</v>
      </c>
      <c r="BH3" s="79">
        <v>41586</v>
      </c>
      <c r="BI3" s="79">
        <v>41590</v>
      </c>
      <c r="BJ3" s="79">
        <v>41591</v>
      </c>
      <c r="BK3" s="79">
        <v>41591</v>
      </c>
      <c r="BL3" s="79">
        <v>41591</v>
      </c>
      <c r="BM3" s="79">
        <v>41591</v>
      </c>
      <c r="BN3" s="79">
        <v>41591</v>
      </c>
      <c r="BO3" s="79">
        <v>41591</v>
      </c>
      <c r="BP3" s="79">
        <v>41592</v>
      </c>
      <c r="BQ3" s="79">
        <v>41592</v>
      </c>
      <c r="BR3" s="79">
        <v>41592</v>
      </c>
      <c r="BS3" s="79">
        <v>41592</v>
      </c>
      <c r="BT3" s="79">
        <v>41592</v>
      </c>
      <c r="BU3" s="79">
        <v>41592</v>
      </c>
      <c r="BV3" s="79">
        <v>41592</v>
      </c>
      <c r="BW3" s="79">
        <v>41592</v>
      </c>
      <c r="BX3" s="79">
        <v>41591</v>
      </c>
      <c r="BY3" s="79">
        <v>41592</v>
      </c>
      <c r="BZ3" s="79">
        <v>41584</v>
      </c>
      <c r="CA3" s="79">
        <v>41585</v>
      </c>
      <c r="CB3" s="79">
        <v>41585</v>
      </c>
      <c r="CC3" s="79">
        <v>41586</v>
      </c>
      <c r="CD3" s="79">
        <v>41590</v>
      </c>
      <c r="CE3" s="79">
        <v>41590</v>
      </c>
      <c r="CF3" s="79">
        <v>41591</v>
      </c>
      <c r="CG3" s="79">
        <v>41591</v>
      </c>
      <c r="CH3" s="79">
        <v>41592</v>
      </c>
      <c r="CI3" s="79">
        <v>41592</v>
      </c>
      <c r="CJ3" s="79">
        <v>41592</v>
      </c>
      <c r="CK3" s="79">
        <v>41592</v>
      </c>
      <c r="CL3" s="79">
        <v>41592</v>
      </c>
      <c r="CM3" s="79">
        <v>41593</v>
      </c>
      <c r="CN3" s="79">
        <v>41593</v>
      </c>
      <c r="CO3" s="79">
        <v>41593</v>
      </c>
      <c r="CP3" s="79">
        <v>41593</v>
      </c>
      <c r="CQ3" s="79">
        <v>41593</v>
      </c>
    </row>
    <row r="4" spans="1:108" s="30" customFormat="1" ht="30" x14ac:dyDescent="0.25">
      <c r="A4" s="7" t="s">
        <v>21</v>
      </c>
      <c r="B4" s="435" t="s">
        <v>393</v>
      </c>
      <c r="C4" s="7"/>
      <c r="D4" s="7"/>
      <c r="E4" s="7"/>
      <c r="F4" s="7"/>
      <c r="G4" s="7"/>
      <c r="H4" s="7"/>
      <c r="I4" s="7"/>
      <c r="J4" s="7"/>
      <c r="K4" s="7"/>
      <c r="L4" s="84"/>
      <c r="M4" s="84"/>
      <c r="N4" s="84"/>
      <c r="O4" s="84"/>
      <c r="P4" s="85"/>
      <c r="V4" s="7"/>
      <c r="W4" s="7"/>
      <c r="X4" s="7"/>
      <c r="Y4" s="7"/>
      <c r="CN4" s="167"/>
    </row>
    <row r="5" spans="1:108" x14ac:dyDescent="0.25">
      <c r="A5" s="1" t="s">
        <v>22</v>
      </c>
      <c r="B5" s="26">
        <v>0.45833333333333331</v>
      </c>
      <c r="C5" s="26">
        <v>0.3125</v>
      </c>
      <c r="D5" s="26">
        <v>0.42708333333333331</v>
      </c>
      <c r="E5" s="26">
        <v>0.50208333333333333</v>
      </c>
      <c r="F5" s="26">
        <v>0.2986111111111111</v>
      </c>
      <c r="G5" s="26">
        <v>0.4201388888888889</v>
      </c>
      <c r="H5" s="26">
        <v>0.42708333333333331</v>
      </c>
      <c r="I5" s="26">
        <v>0.31597222222222221</v>
      </c>
      <c r="J5" s="26">
        <v>0.35902777777777778</v>
      </c>
      <c r="K5" s="26">
        <v>0.375</v>
      </c>
      <c r="L5" s="56">
        <v>0.43055555555555602</v>
      </c>
      <c r="M5" s="56">
        <v>0.30555555555555602</v>
      </c>
      <c r="N5" s="57">
        <v>0.41666666666666702</v>
      </c>
      <c r="O5" s="56">
        <v>0.50833333333333297</v>
      </c>
      <c r="P5" s="74">
        <v>0.45833333333333298</v>
      </c>
      <c r="Q5" s="74">
        <v>0.27222222222222198</v>
      </c>
      <c r="R5" s="74">
        <v>0.35208333333333303</v>
      </c>
      <c r="S5" s="74">
        <v>0.40625</v>
      </c>
      <c r="T5" s="74">
        <v>0.44791666666666702</v>
      </c>
      <c r="U5" s="74">
        <v>0.46875</v>
      </c>
      <c r="V5" s="74">
        <v>0.36666666666666697</v>
      </c>
      <c r="W5" s="74">
        <v>0.375</v>
      </c>
      <c r="X5" s="75">
        <v>0.42361111111111099</v>
      </c>
      <c r="Y5" s="74">
        <v>0.45833333333333298</v>
      </c>
      <c r="Z5" s="80">
        <v>0.34375</v>
      </c>
      <c r="AA5" s="80">
        <v>0.36458333333333331</v>
      </c>
      <c r="AB5" s="80">
        <v>0.39583333333333331</v>
      </c>
      <c r="AC5" s="80">
        <v>0.34027777777777773</v>
      </c>
      <c r="AD5" s="80">
        <v>0.45694444444444443</v>
      </c>
      <c r="AE5" s="80">
        <v>0.26041666666666669</v>
      </c>
      <c r="AF5" s="80">
        <v>0.32291666666666669</v>
      </c>
      <c r="AG5" s="80">
        <v>0.33263888888888887</v>
      </c>
      <c r="AH5" s="80">
        <v>0.35416666666666669</v>
      </c>
      <c r="AI5" s="80">
        <v>0.38541666666666669</v>
      </c>
      <c r="AJ5" s="80">
        <v>0.4201388888888889</v>
      </c>
      <c r="AK5" s="81">
        <v>0.4375</v>
      </c>
      <c r="AL5" s="81">
        <v>0.51041666666666663</v>
      </c>
      <c r="AM5" s="81">
        <v>0.375</v>
      </c>
      <c r="AN5" s="80">
        <v>0.41666666666666669</v>
      </c>
      <c r="AO5" s="80">
        <v>0.50347222222222221</v>
      </c>
      <c r="AP5" s="80">
        <v>0.3611111111111111</v>
      </c>
      <c r="AQ5" s="80">
        <v>0.32500000000000001</v>
      </c>
      <c r="AR5" s="80">
        <v>0.33333333333333331</v>
      </c>
      <c r="AS5" s="80">
        <v>0.33333333333333331</v>
      </c>
      <c r="AT5" s="80">
        <v>0.34375</v>
      </c>
      <c r="AU5" s="80">
        <v>0.4513888888888889</v>
      </c>
      <c r="AV5" s="80">
        <v>0.45833333333333331</v>
      </c>
      <c r="AW5" s="81">
        <v>0.46875</v>
      </c>
      <c r="AX5" s="80">
        <v>0.54166666666666663</v>
      </c>
      <c r="AY5" s="80">
        <v>0.34722222222222227</v>
      </c>
      <c r="AZ5" s="80">
        <v>0.3923611111111111</v>
      </c>
      <c r="BA5" s="80">
        <v>0.39583333333333331</v>
      </c>
      <c r="BB5" s="80">
        <v>0.57638888888888895</v>
      </c>
      <c r="BC5" s="80">
        <v>0.4236111111111111</v>
      </c>
      <c r="BD5" s="80">
        <v>0.38750000000000001</v>
      </c>
      <c r="BE5" s="80">
        <v>0.35416666666666669</v>
      </c>
      <c r="BG5" s="80">
        <v>0.40972222222222227</v>
      </c>
      <c r="BH5" s="81">
        <v>0.4548611111111111</v>
      </c>
      <c r="BI5" s="81">
        <v>0.43124999999999997</v>
      </c>
      <c r="BJ5" s="80">
        <v>0.3444444444444445</v>
      </c>
      <c r="BK5" s="80">
        <v>0.39930555555555558</v>
      </c>
      <c r="BL5" s="81">
        <v>0.41041666666666665</v>
      </c>
      <c r="BM5" s="80">
        <v>0.41666666666666669</v>
      </c>
      <c r="BN5" s="80">
        <v>0.54583333333333328</v>
      </c>
      <c r="BO5" s="80">
        <v>0.58333333333333337</v>
      </c>
      <c r="BP5" s="80">
        <v>0.29166666666666669</v>
      </c>
      <c r="BQ5" s="80">
        <v>0.34861111111111115</v>
      </c>
      <c r="BR5" s="80">
        <v>0.39583333333333331</v>
      </c>
      <c r="BS5" s="80">
        <v>0.40625</v>
      </c>
      <c r="BT5" s="81">
        <v>0.41666666666666669</v>
      </c>
      <c r="BU5" s="80">
        <v>0.41666666666666669</v>
      </c>
      <c r="BV5" s="80">
        <v>0.43402777777777773</v>
      </c>
      <c r="BW5" s="80">
        <v>0.4513888888888889</v>
      </c>
      <c r="BX5" s="80">
        <v>0.37291666666666662</v>
      </c>
      <c r="BY5" s="80">
        <v>0.32500000000000001</v>
      </c>
      <c r="BZ5" s="80">
        <v>0.39583333333333331</v>
      </c>
      <c r="CA5" s="81">
        <v>0.4770833333333333</v>
      </c>
      <c r="CB5" s="80">
        <v>0.5625</v>
      </c>
      <c r="CC5" s="81">
        <v>0.46875</v>
      </c>
      <c r="CD5" s="81">
        <v>0.27083333333333331</v>
      </c>
      <c r="CE5" s="80">
        <v>0.54166666666666663</v>
      </c>
      <c r="CF5" s="80">
        <v>0.35416666666666669</v>
      </c>
      <c r="CG5" s="81">
        <v>0.48958333333333331</v>
      </c>
      <c r="CH5" s="80"/>
      <c r="CI5" s="80">
        <v>0.44722222222222219</v>
      </c>
      <c r="CJ5" s="81">
        <v>0.46180555555555558</v>
      </c>
      <c r="CK5" s="80">
        <v>0.51041666666666663</v>
      </c>
      <c r="CL5" s="80">
        <v>0.56666666666666665</v>
      </c>
      <c r="CM5" s="80">
        <v>0.29166666666666669</v>
      </c>
      <c r="CN5" s="80">
        <v>0.30208333333333331</v>
      </c>
      <c r="CO5" s="81">
        <v>0.34722222222222227</v>
      </c>
      <c r="CP5" s="80">
        <v>0.375</v>
      </c>
      <c r="CQ5" s="80">
        <v>0.48958333333333331</v>
      </c>
    </row>
    <row r="6" spans="1:108" x14ac:dyDescent="0.25">
      <c r="A6" s="1" t="s">
        <v>23</v>
      </c>
      <c r="B6" s="1" t="s">
        <v>61</v>
      </c>
      <c r="C6" s="1" t="s">
        <v>61</v>
      </c>
      <c r="D6" s="1" t="s">
        <v>61</v>
      </c>
      <c r="E6" s="1" t="s">
        <v>61</v>
      </c>
      <c r="F6" s="1" t="s">
        <v>61</v>
      </c>
      <c r="G6" s="1" t="s">
        <v>61</v>
      </c>
      <c r="H6" s="1" t="s">
        <v>61</v>
      </c>
      <c r="I6" s="1" t="s">
        <v>61</v>
      </c>
      <c r="J6" s="1" t="s">
        <v>61</v>
      </c>
      <c r="K6" s="1" t="s">
        <v>61</v>
      </c>
      <c r="L6" s="54" t="s">
        <v>61</v>
      </c>
      <c r="M6" s="54" t="s">
        <v>137</v>
      </c>
      <c r="N6" s="54" t="s">
        <v>61</v>
      </c>
      <c r="O6" s="54" t="s">
        <v>61</v>
      </c>
      <c r="P6" s="72" t="s">
        <v>61</v>
      </c>
      <c r="Q6" s="72" t="s">
        <v>61</v>
      </c>
      <c r="R6" s="72" t="s">
        <v>61</v>
      </c>
      <c r="S6" s="76"/>
      <c r="T6" s="72" t="s">
        <v>61</v>
      </c>
      <c r="U6" s="72" t="s">
        <v>61</v>
      </c>
      <c r="V6" s="72" t="s">
        <v>61</v>
      </c>
      <c r="W6" s="72" t="s">
        <v>61</v>
      </c>
      <c r="X6" s="72" t="s">
        <v>61</v>
      </c>
      <c r="Y6" s="72" t="s">
        <v>61</v>
      </c>
      <c r="Z6" t="s">
        <v>61</v>
      </c>
      <c r="AA6" t="s">
        <v>137</v>
      </c>
      <c r="AB6" t="s">
        <v>61</v>
      </c>
      <c r="AC6" t="s">
        <v>61</v>
      </c>
      <c r="AD6" t="s">
        <v>61</v>
      </c>
      <c r="AE6" t="s">
        <v>61</v>
      </c>
      <c r="AF6" t="s">
        <v>61</v>
      </c>
      <c r="AG6" t="s">
        <v>61</v>
      </c>
      <c r="AH6" t="s">
        <v>137</v>
      </c>
      <c r="AI6" t="s">
        <v>61</v>
      </c>
      <c r="AJ6" t="s">
        <v>61</v>
      </c>
      <c r="AK6" t="s">
        <v>61</v>
      </c>
      <c r="AL6" t="s">
        <v>61</v>
      </c>
      <c r="AM6" t="s">
        <v>61</v>
      </c>
      <c r="AN6" t="s">
        <v>61</v>
      </c>
      <c r="AO6" t="s">
        <v>61</v>
      </c>
      <c r="AP6" t="s">
        <v>61</v>
      </c>
      <c r="AQ6" t="s">
        <v>61</v>
      </c>
      <c r="AR6" t="s">
        <v>61</v>
      </c>
      <c r="AS6" t="s">
        <v>137</v>
      </c>
      <c r="AT6" t="s">
        <v>61</v>
      </c>
      <c r="AU6" t="s">
        <v>61</v>
      </c>
      <c r="AV6" t="s">
        <v>61</v>
      </c>
      <c r="AW6" t="s">
        <v>61</v>
      </c>
      <c r="AX6" t="s">
        <v>61</v>
      </c>
      <c r="AY6" t="s">
        <v>61</v>
      </c>
      <c r="AZ6" t="s">
        <v>137</v>
      </c>
      <c r="BA6" t="s">
        <v>61</v>
      </c>
      <c r="BB6" t="s">
        <v>61</v>
      </c>
      <c r="BC6" t="s">
        <v>61</v>
      </c>
      <c r="BD6" t="s">
        <v>61</v>
      </c>
      <c r="BE6" t="s">
        <v>61</v>
      </c>
      <c r="BF6" t="s">
        <v>61</v>
      </c>
      <c r="BG6" t="s">
        <v>61</v>
      </c>
      <c r="BH6" t="s">
        <v>61</v>
      </c>
      <c r="BI6" t="s">
        <v>61</v>
      </c>
      <c r="BJ6" t="s">
        <v>61</v>
      </c>
      <c r="BK6" t="s">
        <v>61</v>
      </c>
      <c r="BL6" t="s">
        <v>61</v>
      </c>
      <c r="BM6" t="s">
        <v>61</v>
      </c>
      <c r="BN6" t="s">
        <v>137</v>
      </c>
      <c r="BO6" t="s">
        <v>61</v>
      </c>
      <c r="BP6" t="s">
        <v>61</v>
      </c>
      <c r="BQ6" t="s">
        <v>61</v>
      </c>
      <c r="BR6" t="s">
        <v>61</v>
      </c>
      <c r="BS6" t="s">
        <v>61</v>
      </c>
      <c r="BT6" t="s">
        <v>61</v>
      </c>
      <c r="BU6" t="s">
        <v>61</v>
      </c>
      <c r="BV6" t="s">
        <v>61</v>
      </c>
      <c r="BW6" t="s">
        <v>61</v>
      </c>
      <c r="BX6" t="s">
        <v>61</v>
      </c>
      <c r="BY6" t="s">
        <v>61</v>
      </c>
      <c r="BZ6" t="s">
        <v>61</v>
      </c>
      <c r="CA6" t="s">
        <v>61</v>
      </c>
      <c r="CB6" t="s">
        <v>137</v>
      </c>
      <c r="CC6" t="s">
        <v>137</v>
      </c>
      <c r="CD6" t="s">
        <v>61</v>
      </c>
      <c r="CE6" t="s">
        <v>137</v>
      </c>
      <c r="CF6" t="s">
        <v>61</v>
      </c>
      <c r="CG6" t="s">
        <v>61</v>
      </c>
      <c r="CH6" t="s">
        <v>61</v>
      </c>
      <c r="CI6" t="s">
        <v>61</v>
      </c>
      <c r="CJ6" t="s">
        <v>137</v>
      </c>
      <c r="CK6" t="s">
        <v>61</v>
      </c>
      <c r="CL6" t="s">
        <v>61</v>
      </c>
      <c r="CM6" t="s">
        <v>61</v>
      </c>
      <c r="CN6" t="s">
        <v>61</v>
      </c>
      <c r="CO6" t="s">
        <v>61</v>
      </c>
      <c r="CP6" t="s">
        <v>61</v>
      </c>
      <c r="CQ6" t="s">
        <v>61</v>
      </c>
    </row>
    <row r="7" spans="1:108" ht="30" x14ac:dyDescent="0.25">
      <c r="A7" s="1" t="s">
        <v>24</v>
      </c>
      <c r="B7" s="435" t="s">
        <v>393</v>
      </c>
      <c r="C7" s="1"/>
      <c r="D7" s="1"/>
      <c r="E7" s="1"/>
      <c r="F7" s="1"/>
      <c r="G7" s="1"/>
      <c r="H7" s="1"/>
      <c r="I7" s="1"/>
      <c r="J7" s="1"/>
      <c r="K7" s="1"/>
      <c r="L7" s="54"/>
      <c r="M7" s="54"/>
      <c r="N7" s="54"/>
      <c r="O7" s="54"/>
      <c r="P7" s="72"/>
      <c r="Q7" s="72"/>
      <c r="R7" s="7"/>
      <c r="S7" s="72"/>
      <c r="T7" s="72"/>
      <c r="U7" s="72"/>
      <c r="V7" s="72"/>
      <c r="W7" s="72"/>
      <c r="X7" s="72"/>
      <c r="Y7" s="72"/>
      <c r="AN7" s="109"/>
      <c r="CE7" s="165"/>
      <c r="CI7" s="165"/>
      <c r="CK7" s="165"/>
      <c r="CM7" s="165"/>
    </row>
    <row r="8" spans="1:108" x14ac:dyDescent="0.25">
      <c r="A8" s="3" t="s">
        <v>25</v>
      </c>
      <c r="B8" s="3" t="s">
        <v>1</v>
      </c>
      <c r="C8" s="3" t="s">
        <v>1</v>
      </c>
      <c r="D8" s="3" t="s">
        <v>1</v>
      </c>
      <c r="E8" s="3" t="s">
        <v>1</v>
      </c>
      <c r="F8" s="3" t="s">
        <v>1</v>
      </c>
      <c r="G8" s="3" t="s">
        <v>68</v>
      </c>
      <c r="H8" s="3" t="s">
        <v>69</v>
      </c>
      <c r="I8" s="3" t="s">
        <v>69</v>
      </c>
      <c r="J8" s="3" t="s">
        <v>71</v>
      </c>
      <c r="K8" s="3" t="s">
        <v>1</v>
      </c>
      <c r="L8" s="54" t="s">
        <v>1</v>
      </c>
      <c r="M8" s="54" t="s">
        <v>1</v>
      </c>
      <c r="N8" s="54" t="s">
        <v>1</v>
      </c>
      <c r="O8" s="54" t="s">
        <v>1</v>
      </c>
      <c r="P8" s="72" t="s">
        <v>69</v>
      </c>
      <c r="Q8" s="72" t="s">
        <v>69</v>
      </c>
      <c r="R8" s="72" t="s">
        <v>1</v>
      </c>
      <c r="S8" s="76"/>
      <c r="T8" s="72" t="s">
        <v>1</v>
      </c>
      <c r="U8" s="72" t="s">
        <v>69</v>
      </c>
      <c r="V8" s="72" t="s">
        <v>1</v>
      </c>
      <c r="W8" s="72" t="s">
        <v>68</v>
      </c>
      <c r="X8" s="72" t="s">
        <v>1</v>
      </c>
      <c r="Y8" s="72" t="s">
        <v>68</v>
      </c>
      <c r="Z8" t="s">
        <v>215</v>
      </c>
      <c r="AA8" t="s">
        <v>1</v>
      </c>
      <c r="AB8" t="s">
        <v>1</v>
      </c>
      <c r="AC8" t="s">
        <v>69</v>
      </c>
      <c r="AD8" t="s">
        <v>1</v>
      </c>
      <c r="AE8" t="s">
        <v>1</v>
      </c>
      <c r="AF8" t="s">
        <v>1</v>
      </c>
      <c r="AG8" t="s">
        <v>1</v>
      </c>
      <c r="AH8" t="s">
        <v>1</v>
      </c>
      <c r="AI8" t="s">
        <v>1</v>
      </c>
      <c r="AJ8" t="s">
        <v>1</v>
      </c>
      <c r="AL8" t="s">
        <v>68</v>
      </c>
      <c r="AM8" t="s">
        <v>1</v>
      </c>
      <c r="AN8" t="s">
        <v>1</v>
      </c>
      <c r="AO8" t="s">
        <v>69</v>
      </c>
      <c r="AP8" t="s">
        <v>1</v>
      </c>
      <c r="AQ8" t="s">
        <v>69</v>
      </c>
      <c r="AR8" t="s">
        <v>1</v>
      </c>
      <c r="AS8" t="s">
        <v>69</v>
      </c>
      <c r="AT8" t="s">
        <v>1</v>
      </c>
      <c r="AU8" t="s">
        <v>68</v>
      </c>
      <c r="AV8" t="s">
        <v>1</v>
      </c>
      <c r="AW8" t="s">
        <v>69</v>
      </c>
      <c r="AX8" t="s">
        <v>1</v>
      </c>
      <c r="AY8" t="s">
        <v>1</v>
      </c>
      <c r="AZ8" t="s">
        <v>1</v>
      </c>
      <c r="BA8" t="s">
        <v>1</v>
      </c>
      <c r="BB8" t="s">
        <v>1</v>
      </c>
      <c r="BC8" t="s">
        <v>1</v>
      </c>
      <c r="BD8" t="s">
        <v>69</v>
      </c>
      <c r="BE8" t="s">
        <v>69</v>
      </c>
      <c r="BF8" t="s">
        <v>1</v>
      </c>
      <c r="BG8" t="s">
        <v>1</v>
      </c>
      <c r="BH8" t="s">
        <v>68</v>
      </c>
      <c r="BI8" t="s">
        <v>68</v>
      </c>
      <c r="BJ8" t="s">
        <v>71</v>
      </c>
      <c r="BK8" t="s">
        <v>69</v>
      </c>
      <c r="BL8" t="s">
        <v>1</v>
      </c>
      <c r="BM8" t="s">
        <v>1</v>
      </c>
      <c r="BN8" t="s">
        <v>1</v>
      </c>
      <c r="BO8" t="s">
        <v>1</v>
      </c>
      <c r="BP8" t="s">
        <v>1</v>
      </c>
      <c r="BQ8" t="s">
        <v>1</v>
      </c>
      <c r="BR8" t="s">
        <v>1</v>
      </c>
      <c r="BS8" t="s">
        <v>1</v>
      </c>
      <c r="BT8" t="s">
        <v>68</v>
      </c>
      <c r="BU8" t="s">
        <v>1</v>
      </c>
      <c r="BV8" t="s">
        <v>1</v>
      </c>
      <c r="BW8" t="s">
        <v>1</v>
      </c>
      <c r="BX8" t="s">
        <v>1</v>
      </c>
      <c r="BY8" t="s">
        <v>1</v>
      </c>
      <c r="BZ8" t="s">
        <v>69</v>
      </c>
      <c r="CA8" t="s">
        <v>1</v>
      </c>
      <c r="CB8" t="s">
        <v>1</v>
      </c>
      <c r="CC8" t="s">
        <v>1</v>
      </c>
      <c r="CD8" t="s">
        <v>69</v>
      </c>
      <c r="CE8" t="s">
        <v>1</v>
      </c>
      <c r="CF8" t="s">
        <v>69</v>
      </c>
      <c r="CG8" t="s">
        <v>1</v>
      </c>
      <c r="CH8" t="s">
        <v>1</v>
      </c>
      <c r="CI8" t="s">
        <v>1</v>
      </c>
      <c r="CJ8" t="s">
        <v>69</v>
      </c>
      <c r="CK8" t="s">
        <v>1</v>
      </c>
      <c r="CL8" t="s">
        <v>313</v>
      </c>
      <c r="CM8" t="s">
        <v>69</v>
      </c>
      <c r="CN8" t="s">
        <v>1</v>
      </c>
      <c r="CO8" t="s">
        <v>71</v>
      </c>
      <c r="CP8" t="s">
        <v>1</v>
      </c>
      <c r="CQ8" t="s">
        <v>1</v>
      </c>
    </row>
    <row r="9" spans="1:108" x14ac:dyDescent="0.25">
      <c r="A9" s="3" t="s">
        <v>26</v>
      </c>
      <c r="B9" s="3">
        <v>35000</v>
      </c>
      <c r="C9" s="3">
        <v>120</v>
      </c>
      <c r="D9" s="3"/>
      <c r="E9" s="3">
        <v>170000</v>
      </c>
      <c r="F9" s="3">
        <v>4750</v>
      </c>
      <c r="G9" s="3">
        <v>118000</v>
      </c>
      <c r="H9" s="3">
        <v>7766</v>
      </c>
      <c r="I9" s="3">
        <v>3300</v>
      </c>
      <c r="J9" s="3">
        <v>2400</v>
      </c>
      <c r="K9" s="3">
        <v>1500</v>
      </c>
      <c r="L9" s="54">
        <v>3450</v>
      </c>
      <c r="M9" s="54">
        <v>6000</v>
      </c>
      <c r="N9" s="54">
        <v>223200</v>
      </c>
      <c r="O9" s="54">
        <v>300</v>
      </c>
      <c r="P9" s="72">
        <v>16000</v>
      </c>
      <c r="Q9" s="72">
        <v>2100</v>
      </c>
      <c r="R9" s="72">
        <v>1000</v>
      </c>
      <c r="S9" s="72">
        <v>200</v>
      </c>
      <c r="T9" s="72">
        <v>2500</v>
      </c>
      <c r="U9" s="72">
        <v>20000</v>
      </c>
      <c r="V9" s="72">
        <v>29568</v>
      </c>
      <c r="W9" s="72">
        <v>10000</v>
      </c>
      <c r="X9" s="72">
        <v>300</v>
      </c>
      <c r="Y9" s="72">
        <v>500000</v>
      </c>
      <c r="Z9">
        <v>25000</v>
      </c>
      <c r="AA9">
        <v>4000</v>
      </c>
      <c r="AB9">
        <v>11579</v>
      </c>
      <c r="AC9">
        <v>3821</v>
      </c>
      <c r="AD9">
        <v>3328</v>
      </c>
      <c r="AE9">
        <v>268000</v>
      </c>
      <c r="AF9">
        <v>150</v>
      </c>
      <c r="AH9">
        <v>30000</v>
      </c>
      <c r="AI9">
        <v>300</v>
      </c>
      <c r="AJ9">
        <v>7310</v>
      </c>
      <c r="AK9">
        <v>750000</v>
      </c>
      <c r="AL9">
        <v>18500</v>
      </c>
      <c r="AM9">
        <v>54000</v>
      </c>
      <c r="AN9">
        <v>2850</v>
      </c>
      <c r="AO9">
        <v>3225</v>
      </c>
      <c r="AP9">
        <v>9800</v>
      </c>
      <c r="AQ9">
        <v>30</v>
      </c>
      <c r="AR9">
        <v>738038</v>
      </c>
      <c r="AS9">
        <v>6500</v>
      </c>
      <c r="AT9">
        <v>11000</v>
      </c>
      <c r="AU9">
        <v>100</v>
      </c>
      <c r="AV9">
        <v>688202</v>
      </c>
      <c r="AW9">
        <v>4000</v>
      </c>
      <c r="AX9">
        <v>9200</v>
      </c>
      <c r="AY9">
        <v>4500</v>
      </c>
      <c r="AZ9">
        <v>12</v>
      </c>
      <c r="BA9">
        <v>22000</v>
      </c>
      <c r="BB9">
        <v>474000</v>
      </c>
      <c r="BC9">
        <v>50000</v>
      </c>
      <c r="BE9">
        <v>400</v>
      </c>
      <c r="BF9">
        <v>50000</v>
      </c>
      <c r="BG9">
        <v>50000</v>
      </c>
      <c r="BH9">
        <v>750000</v>
      </c>
      <c r="BI9">
        <v>750000</v>
      </c>
      <c r="BJ9">
        <v>4900</v>
      </c>
      <c r="BK9">
        <v>600</v>
      </c>
      <c r="BL9">
        <v>5200</v>
      </c>
      <c r="BM9">
        <v>2750</v>
      </c>
      <c r="BN9">
        <v>3000</v>
      </c>
      <c r="BO9">
        <v>3375</v>
      </c>
      <c r="BR9">
        <v>4800</v>
      </c>
      <c r="BS9">
        <v>8000</v>
      </c>
      <c r="BU9">
        <v>825000</v>
      </c>
      <c r="BV9">
        <v>800</v>
      </c>
      <c r="BW9">
        <v>960</v>
      </c>
      <c r="BY9">
        <v>320964</v>
      </c>
      <c r="BZ9">
        <v>10520</v>
      </c>
      <c r="CA9">
        <v>15000</v>
      </c>
      <c r="CB9">
        <v>8860</v>
      </c>
      <c r="CC9">
        <v>7021</v>
      </c>
      <c r="CD9">
        <v>40000</v>
      </c>
      <c r="CE9">
        <v>5000</v>
      </c>
      <c r="CF9">
        <v>3000</v>
      </c>
      <c r="CG9">
        <v>15000</v>
      </c>
      <c r="CI9">
        <v>245000</v>
      </c>
      <c r="CJ9">
        <v>3631</v>
      </c>
      <c r="CK9">
        <v>38900</v>
      </c>
      <c r="CL9">
        <v>11000</v>
      </c>
      <c r="CM9">
        <v>4400</v>
      </c>
      <c r="CN9">
        <v>12000</v>
      </c>
      <c r="CO9">
        <v>1800</v>
      </c>
      <c r="CP9">
        <v>1404</v>
      </c>
      <c r="CQ9">
        <v>6935</v>
      </c>
    </row>
    <row r="10" spans="1:108" x14ac:dyDescent="0.25">
      <c r="A10" s="1" t="s">
        <v>27</v>
      </c>
      <c r="B10" s="11">
        <f>44/60</f>
        <v>0.73333333333333328</v>
      </c>
      <c r="C10" s="11">
        <v>1.333</v>
      </c>
      <c r="D10" s="11">
        <v>4</v>
      </c>
      <c r="E10" s="11">
        <v>0.98299999999999998</v>
      </c>
      <c r="F10" s="11">
        <v>0.66700000000000004</v>
      </c>
      <c r="G10" s="11">
        <f>42/60</f>
        <v>0.7</v>
      </c>
      <c r="H10" s="11">
        <f>58/60</f>
        <v>0.96666666666666667</v>
      </c>
      <c r="I10" s="11">
        <v>0.78300000000000003</v>
      </c>
      <c r="J10" s="11">
        <v>0.61599999999999999</v>
      </c>
      <c r="K10" s="11">
        <v>1</v>
      </c>
      <c r="L10" s="58">
        <v>1.367</v>
      </c>
      <c r="M10" s="58">
        <v>0.98299999999999998</v>
      </c>
      <c r="N10" s="58">
        <v>1</v>
      </c>
      <c r="O10" s="58">
        <v>0.83299999999999996</v>
      </c>
      <c r="P10" s="72">
        <v>0.9</v>
      </c>
      <c r="Q10" s="72">
        <v>2.7669999999999999</v>
      </c>
      <c r="R10" s="72">
        <v>0.66</v>
      </c>
      <c r="S10" s="72">
        <v>1.1000000000000001</v>
      </c>
      <c r="T10" s="72">
        <v>1.7330000000000001</v>
      </c>
      <c r="U10" s="72">
        <v>1.617</v>
      </c>
      <c r="V10" s="72">
        <v>0.53300000000000003</v>
      </c>
      <c r="W10" s="72">
        <v>0.78300000000000003</v>
      </c>
      <c r="X10" s="72">
        <v>0.66700000000000004</v>
      </c>
      <c r="Y10" s="72">
        <v>0.99</v>
      </c>
      <c r="Z10">
        <v>0.85499999999999998</v>
      </c>
      <c r="AA10">
        <v>0.78300000000000003</v>
      </c>
      <c r="AB10">
        <v>0.95</v>
      </c>
      <c r="AC10">
        <v>0.17299999999999999</v>
      </c>
      <c r="AD10">
        <v>0.85799999999999998</v>
      </c>
      <c r="AE10">
        <v>0.65500000000000003</v>
      </c>
      <c r="AF10">
        <v>1.367</v>
      </c>
      <c r="AG10">
        <v>1.0832999999999999</v>
      </c>
      <c r="AH10">
        <v>0.8</v>
      </c>
      <c r="AI10">
        <v>1.5669999999999999</v>
      </c>
      <c r="AJ10">
        <v>0.66700000000000004</v>
      </c>
      <c r="AK10">
        <v>1.167</v>
      </c>
      <c r="AL10">
        <v>1.583</v>
      </c>
      <c r="AM10">
        <v>1.1000000000000001</v>
      </c>
      <c r="AN10">
        <v>4.3330000000000002</v>
      </c>
      <c r="AO10">
        <v>2.9670000000000001</v>
      </c>
      <c r="AP10">
        <v>1.2330000000000001</v>
      </c>
      <c r="AQ10">
        <v>0.61699999999999999</v>
      </c>
      <c r="AR10">
        <v>1.1499999999999999</v>
      </c>
      <c r="AS10">
        <v>6.1669999999999998</v>
      </c>
      <c r="AT10">
        <v>0.56499999999999995</v>
      </c>
      <c r="AU10">
        <v>0.66700000000000004</v>
      </c>
      <c r="AV10">
        <v>2.9329999999999998</v>
      </c>
      <c r="AW10">
        <v>5.181</v>
      </c>
      <c r="AX10">
        <v>1.25</v>
      </c>
      <c r="AY10">
        <v>1.167</v>
      </c>
      <c r="BA10">
        <v>1.9330000000000001</v>
      </c>
      <c r="BB10">
        <v>0.41699999999999998</v>
      </c>
      <c r="BC10">
        <v>0.81699999999999995</v>
      </c>
      <c r="BD10">
        <v>14.5</v>
      </c>
      <c r="BE10">
        <v>5.75</v>
      </c>
      <c r="BF10">
        <v>0.9</v>
      </c>
      <c r="BG10">
        <v>1.0832999999999999</v>
      </c>
      <c r="BH10">
        <v>1.333</v>
      </c>
      <c r="BI10">
        <v>1.667</v>
      </c>
      <c r="BJ10">
        <v>3.1709999999999998</v>
      </c>
      <c r="BK10">
        <v>1.6</v>
      </c>
      <c r="BL10">
        <v>1.7749999999999999</v>
      </c>
      <c r="BM10">
        <v>0.83299999999999996</v>
      </c>
      <c r="BN10">
        <v>0.66700000000000004</v>
      </c>
      <c r="BO10">
        <v>1.2989999999999999</v>
      </c>
      <c r="BP10">
        <v>2.851</v>
      </c>
      <c r="BQ10">
        <v>1.6</v>
      </c>
      <c r="BR10">
        <v>1.383</v>
      </c>
      <c r="BS10">
        <v>1.7669999999999999</v>
      </c>
      <c r="BT10">
        <v>4.37</v>
      </c>
      <c r="BU10">
        <v>0.58299999999999996</v>
      </c>
      <c r="BV10">
        <v>1.2330000000000001</v>
      </c>
      <c r="BW10">
        <v>0.81299999999999994</v>
      </c>
      <c r="BX10">
        <v>0.41699999999999998</v>
      </c>
      <c r="BY10">
        <v>1.35</v>
      </c>
      <c r="BZ10">
        <v>3.117</v>
      </c>
      <c r="CA10">
        <v>1.5329999999999999</v>
      </c>
      <c r="CB10">
        <v>0.98299999999999998</v>
      </c>
      <c r="CC10">
        <v>1.117</v>
      </c>
      <c r="CD10">
        <v>2.8</v>
      </c>
      <c r="CE10">
        <v>1.117</v>
      </c>
      <c r="CF10">
        <v>2.4670000000000001</v>
      </c>
      <c r="CG10">
        <v>1.45</v>
      </c>
      <c r="CH10">
        <v>1.0667</v>
      </c>
      <c r="CI10">
        <v>0.66700000000000004</v>
      </c>
      <c r="CJ10">
        <v>1.4670000000000001</v>
      </c>
      <c r="CK10">
        <v>2.75</v>
      </c>
      <c r="CL10">
        <v>2.3330000000000002</v>
      </c>
      <c r="CM10">
        <v>3.15</v>
      </c>
      <c r="CN10">
        <v>1.2170000000000001</v>
      </c>
      <c r="CO10">
        <v>0.5</v>
      </c>
      <c r="CP10">
        <v>0.96699999999999997</v>
      </c>
      <c r="CQ10">
        <v>1.2330000000000001</v>
      </c>
    </row>
    <row r="11" spans="1:108" x14ac:dyDescent="0.25">
      <c r="A11" s="1" t="s">
        <v>28</v>
      </c>
      <c r="B11" s="11">
        <f>1+20/60</f>
        <v>1.3333333333333333</v>
      </c>
      <c r="C11" s="11">
        <v>1.917</v>
      </c>
      <c r="D11" s="11">
        <f>5+14/60</f>
        <v>5.2333333333333334</v>
      </c>
      <c r="E11" s="11">
        <v>1.25</v>
      </c>
      <c r="F11" s="11">
        <v>0.91700000000000004</v>
      </c>
      <c r="G11" s="11">
        <f>1+18/60</f>
        <v>1.3</v>
      </c>
      <c r="H11" s="11">
        <f>1+25/60</f>
        <v>1.4166666666666667</v>
      </c>
      <c r="I11" s="11">
        <v>1.1499999999999999</v>
      </c>
      <c r="J11" s="11">
        <v>0.73599999999999999</v>
      </c>
      <c r="K11" s="11">
        <v>1.45</v>
      </c>
      <c r="L11" s="58">
        <v>3.5830000000000002</v>
      </c>
      <c r="M11" s="58">
        <v>1.25</v>
      </c>
      <c r="N11" s="58">
        <v>1.75</v>
      </c>
      <c r="O11" s="58">
        <v>1.1499999999999999</v>
      </c>
      <c r="P11" s="72">
        <v>1.0166999999999999</v>
      </c>
      <c r="Q11" s="72">
        <v>3.2170000000000001</v>
      </c>
      <c r="R11" s="72">
        <v>0.77600000000000002</v>
      </c>
      <c r="S11" s="72">
        <v>2.2000000000000002</v>
      </c>
      <c r="T11" s="72">
        <v>1.9330000000000001</v>
      </c>
      <c r="U11" s="72">
        <v>2.7829999999999999</v>
      </c>
      <c r="V11" s="72">
        <v>0.75</v>
      </c>
      <c r="W11" s="72">
        <v>1.2829999999999999</v>
      </c>
      <c r="X11" s="72">
        <v>0.76700000000000002</v>
      </c>
      <c r="Y11" s="76" t="s">
        <v>62</v>
      </c>
      <c r="Z11">
        <v>1.2130000000000001</v>
      </c>
      <c r="AA11">
        <v>0.93300000000000005</v>
      </c>
      <c r="AB11">
        <v>1.2170000000000001</v>
      </c>
      <c r="AC11">
        <v>0.56499999999999995</v>
      </c>
      <c r="AD11">
        <v>1.0660000000000001</v>
      </c>
      <c r="AE11">
        <v>1.115</v>
      </c>
      <c r="AG11">
        <v>1.2669999999999999</v>
      </c>
      <c r="AH11">
        <v>1.4670000000000001</v>
      </c>
      <c r="AI11">
        <v>1.9330000000000001</v>
      </c>
      <c r="AJ11">
        <v>1.0333000000000001</v>
      </c>
      <c r="AK11">
        <v>1.5</v>
      </c>
      <c r="AL11">
        <v>1.95</v>
      </c>
      <c r="AM11">
        <v>1.333</v>
      </c>
      <c r="AN11">
        <v>4.75</v>
      </c>
      <c r="AO11">
        <v>3.1669999999999998</v>
      </c>
      <c r="AP11">
        <v>1.45</v>
      </c>
      <c r="AQ11">
        <v>1.0832999999999999</v>
      </c>
      <c r="AR11">
        <v>1.45</v>
      </c>
      <c r="AS11">
        <v>7.4169999999999998</v>
      </c>
      <c r="AT11">
        <v>0.64700000000000002</v>
      </c>
      <c r="AU11">
        <v>0.86699999999999999</v>
      </c>
      <c r="AV11">
        <v>3.2170000000000001</v>
      </c>
      <c r="AW11">
        <v>5.1959999999999997</v>
      </c>
      <c r="AX11">
        <v>1.75</v>
      </c>
      <c r="AY11">
        <v>1.833</v>
      </c>
      <c r="BA11">
        <v>2.2330000000000001</v>
      </c>
      <c r="BB11">
        <v>0.5</v>
      </c>
      <c r="BC11">
        <v>1.383</v>
      </c>
      <c r="BD11">
        <v>15</v>
      </c>
      <c r="BE11">
        <v>6.5330000000000004</v>
      </c>
      <c r="BF11">
        <v>1.55</v>
      </c>
      <c r="BG11">
        <v>1.5169999999999999</v>
      </c>
      <c r="BH11">
        <v>1.5</v>
      </c>
      <c r="BI11">
        <v>1.917</v>
      </c>
      <c r="BJ11">
        <v>3.8719999999999999</v>
      </c>
      <c r="BK11">
        <v>2.1</v>
      </c>
      <c r="BL11">
        <v>1.9690000000000001</v>
      </c>
      <c r="BM11">
        <v>1.1830000000000001</v>
      </c>
      <c r="BN11">
        <v>0.8</v>
      </c>
      <c r="BO11">
        <v>1.877</v>
      </c>
      <c r="BP11">
        <v>3.0347</v>
      </c>
      <c r="BQ11">
        <v>2.25</v>
      </c>
      <c r="BR11">
        <v>1.5369999999999999</v>
      </c>
      <c r="BS11">
        <v>2.1669999999999998</v>
      </c>
      <c r="BT11">
        <v>5.9020000000000001</v>
      </c>
      <c r="BU11">
        <v>0.83299999999999996</v>
      </c>
      <c r="BV11">
        <v>1.4830000000000001</v>
      </c>
      <c r="BW11">
        <v>1.36</v>
      </c>
      <c r="BX11">
        <v>0.73299999999999998</v>
      </c>
      <c r="BY11">
        <v>1.633</v>
      </c>
      <c r="BZ11">
        <v>3.367</v>
      </c>
      <c r="CA11">
        <v>1.6</v>
      </c>
      <c r="CB11">
        <v>1.3169999999999999</v>
      </c>
      <c r="CC11">
        <v>1.35</v>
      </c>
      <c r="CD11">
        <v>3.0333000000000001</v>
      </c>
      <c r="CE11">
        <v>1.35</v>
      </c>
      <c r="CF11">
        <v>3.2170000000000001</v>
      </c>
      <c r="CG11">
        <v>2.2669999999999999</v>
      </c>
      <c r="CH11">
        <v>1.167</v>
      </c>
      <c r="CI11">
        <v>1.0166999999999999</v>
      </c>
      <c r="CJ11">
        <v>1.667</v>
      </c>
      <c r="CK11">
        <v>3.3170000000000002</v>
      </c>
      <c r="CL11">
        <v>3.117</v>
      </c>
      <c r="CM11">
        <v>3.65</v>
      </c>
      <c r="CN11">
        <v>1.4</v>
      </c>
      <c r="CO11">
        <v>0.7</v>
      </c>
      <c r="CP11">
        <v>1.258</v>
      </c>
      <c r="CQ11">
        <v>1.4330000000000001</v>
      </c>
    </row>
    <row r="12" spans="1:108" x14ac:dyDescent="0.25">
      <c r="A12" s="1" t="s">
        <v>29</v>
      </c>
      <c r="B12" s="11">
        <f>1+33/60</f>
        <v>1.55</v>
      </c>
      <c r="C12" s="11">
        <v>3.2829999999999999</v>
      </c>
      <c r="D12" s="11">
        <f>6+19/60</f>
        <v>6.3166666666666664</v>
      </c>
      <c r="E12" s="11">
        <v>1.917</v>
      </c>
      <c r="F12" s="11">
        <v>1.167</v>
      </c>
      <c r="G12" s="11">
        <f>2+5/60</f>
        <v>2.0833333333333335</v>
      </c>
      <c r="H12" s="11">
        <f>3+6/60</f>
        <v>3.1</v>
      </c>
      <c r="I12" s="11">
        <v>2.0830000000000002</v>
      </c>
      <c r="J12" s="11">
        <v>1.0245</v>
      </c>
      <c r="K12" s="11">
        <v>4.0670000000000002</v>
      </c>
      <c r="L12" s="59">
        <v>11.667</v>
      </c>
      <c r="M12" s="58">
        <v>2.5830000000000002</v>
      </c>
      <c r="N12" s="58">
        <v>2.7669999999999999</v>
      </c>
      <c r="O12" s="58">
        <v>2.617</v>
      </c>
      <c r="P12" s="72">
        <v>1.917</v>
      </c>
      <c r="Q12" s="72">
        <v>4.8170000000000002</v>
      </c>
      <c r="R12" s="72">
        <v>1.401</v>
      </c>
      <c r="S12" s="72">
        <v>6.05</v>
      </c>
      <c r="T12" s="72">
        <v>2.8</v>
      </c>
      <c r="U12" s="72">
        <v>6.3330000000000002</v>
      </c>
      <c r="V12" s="72">
        <v>0.96699999999999997</v>
      </c>
      <c r="W12" s="72">
        <v>1.8169999999999999</v>
      </c>
      <c r="X12" s="72">
        <v>1.35</v>
      </c>
      <c r="Y12" s="72">
        <v>1.8080000000000001</v>
      </c>
      <c r="Z12">
        <v>1.94</v>
      </c>
      <c r="AA12">
        <v>1.333</v>
      </c>
      <c r="AB12">
        <v>2.65</v>
      </c>
      <c r="AC12">
        <v>1.4019999999999999</v>
      </c>
      <c r="AD12">
        <v>1.8819999999999999</v>
      </c>
      <c r="AE12">
        <v>1.7669999999999999</v>
      </c>
      <c r="AF12">
        <v>1.633</v>
      </c>
      <c r="AG12">
        <v>2.0167000000000002</v>
      </c>
      <c r="AH12">
        <v>1.8</v>
      </c>
      <c r="AI12">
        <v>4.3170000000000002</v>
      </c>
      <c r="AJ12">
        <v>1.75</v>
      </c>
      <c r="AK12">
        <v>2.6669999999999998</v>
      </c>
      <c r="AL12">
        <v>3.6669999999999998</v>
      </c>
      <c r="AM12">
        <v>1.5</v>
      </c>
      <c r="AN12">
        <v>9.1</v>
      </c>
      <c r="AO12">
        <v>3.5</v>
      </c>
      <c r="AP12">
        <v>1.917</v>
      </c>
      <c r="AQ12">
        <v>1.9670000000000001</v>
      </c>
      <c r="AR12">
        <v>1.9830000000000001</v>
      </c>
      <c r="AS12">
        <v>9.4670000000000005</v>
      </c>
      <c r="AT12">
        <v>1.19</v>
      </c>
      <c r="AU12">
        <v>1.65</v>
      </c>
      <c r="AV12">
        <v>3.9830000000000001</v>
      </c>
      <c r="AW12">
        <v>6.8890000000000002</v>
      </c>
      <c r="AX12">
        <v>1.917</v>
      </c>
      <c r="AY12">
        <v>2.4169999999999998</v>
      </c>
      <c r="BA12">
        <v>3.2330000000000001</v>
      </c>
      <c r="BB12">
        <v>1.3</v>
      </c>
      <c r="BC12">
        <v>2.15</v>
      </c>
      <c r="BD12">
        <v>16.033300000000001</v>
      </c>
      <c r="BE12">
        <v>7.4329999999999998</v>
      </c>
      <c r="BF12">
        <v>2.4830000000000001</v>
      </c>
      <c r="BG12">
        <v>2.2330000000000001</v>
      </c>
      <c r="BH12">
        <v>2.8330000000000002</v>
      </c>
      <c r="BI12">
        <v>3.25</v>
      </c>
      <c r="BJ12">
        <v>4.9710000000000001</v>
      </c>
      <c r="BK12">
        <v>2.4500000000000002</v>
      </c>
      <c r="BL12">
        <v>2.0354999999999999</v>
      </c>
      <c r="BM12">
        <v>1.833</v>
      </c>
      <c r="BN12">
        <v>1.1499999999999999</v>
      </c>
      <c r="BO12">
        <v>2.8069999999999999</v>
      </c>
      <c r="BP12">
        <v>3.2370000000000001</v>
      </c>
      <c r="BQ12">
        <v>2.5329999999999999</v>
      </c>
      <c r="BR12">
        <v>2.95</v>
      </c>
      <c r="BS12">
        <v>2.9670000000000001</v>
      </c>
      <c r="BT12">
        <v>6.3540000000000001</v>
      </c>
      <c r="BU12">
        <v>1.417</v>
      </c>
      <c r="BV12">
        <v>1.9330000000000001</v>
      </c>
      <c r="BW12">
        <v>1.9430000000000001</v>
      </c>
      <c r="BX12">
        <v>1.3169999999999999</v>
      </c>
      <c r="BY12">
        <v>3.4329999999999998</v>
      </c>
      <c r="BZ12">
        <v>4.0833000000000004</v>
      </c>
      <c r="CA12">
        <v>3.9</v>
      </c>
      <c r="CB12">
        <v>1.9670000000000001</v>
      </c>
      <c r="CC12">
        <v>1.7829999999999999</v>
      </c>
      <c r="CD12">
        <v>3.4329999999999998</v>
      </c>
      <c r="CE12">
        <v>1.633</v>
      </c>
      <c r="CF12">
        <v>6.9</v>
      </c>
      <c r="CG12">
        <v>6.2</v>
      </c>
      <c r="CH12">
        <v>1.633</v>
      </c>
      <c r="CI12">
        <v>2.0167000000000002</v>
      </c>
      <c r="CJ12">
        <v>2.1669999999999998</v>
      </c>
      <c r="CK12">
        <v>4.1829999999999998</v>
      </c>
      <c r="CL12">
        <v>3.7669999999999999</v>
      </c>
      <c r="CM12">
        <v>4.75</v>
      </c>
      <c r="CN12">
        <v>1.7170000000000001</v>
      </c>
      <c r="CO12">
        <v>1.333</v>
      </c>
      <c r="CP12">
        <v>1.587</v>
      </c>
      <c r="CQ12">
        <v>1.7829999999999999</v>
      </c>
    </row>
    <row r="13" spans="1:108" x14ac:dyDescent="0.25">
      <c r="A13" s="1" t="s">
        <v>30</v>
      </c>
      <c r="B13" s="11">
        <f>1+56/60</f>
        <v>1.9333333333333333</v>
      </c>
      <c r="C13" s="11">
        <v>4.8330000000000002</v>
      </c>
      <c r="D13" s="11">
        <f>8</f>
        <v>8</v>
      </c>
      <c r="E13" s="11">
        <v>2.9830000000000001</v>
      </c>
      <c r="F13" s="11">
        <v>1.917</v>
      </c>
      <c r="G13" s="11">
        <f>3+16/60</f>
        <v>3.2666666666666666</v>
      </c>
      <c r="H13" s="11">
        <f>4+20/60</f>
        <v>4.333333333333333</v>
      </c>
      <c r="I13" s="11"/>
      <c r="J13" s="11">
        <v>1.621</v>
      </c>
      <c r="K13" s="11">
        <v>6.5</v>
      </c>
      <c r="L13" s="58">
        <v>12.983000000000001</v>
      </c>
      <c r="M13" s="58">
        <v>2.75</v>
      </c>
      <c r="N13" s="58">
        <v>3.4169999999999998</v>
      </c>
      <c r="O13" s="58">
        <v>3.117</v>
      </c>
      <c r="P13" s="72">
        <v>2.883</v>
      </c>
      <c r="Q13" s="72">
        <v>6.0170000000000003</v>
      </c>
      <c r="R13" s="72">
        <v>1.7709999999999999</v>
      </c>
      <c r="S13" s="72">
        <v>7.133</v>
      </c>
      <c r="T13" s="72">
        <v>4.0830000000000002</v>
      </c>
      <c r="U13" s="72">
        <v>8.7170000000000005</v>
      </c>
      <c r="V13" s="76" t="s">
        <v>62</v>
      </c>
      <c r="W13" s="76" t="s">
        <v>62</v>
      </c>
      <c r="X13" s="72">
        <v>2.7330000000000001</v>
      </c>
      <c r="Y13" s="72">
        <v>2.5499999999999998</v>
      </c>
      <c r="Z13" t="s">
        <v>211</v>
      </c>
      <c r="AA13">
        <v>1.75</v>
      </c>
      <c r="AB13">
        <v>3.3170000000000002</v>
      </c>
      <c r="AC13">
        <v>2.105</v>
      </c>
      <c r="AD13">
        <v>2.2050000000000001</v>
      </c>
      <c r="AE13">
        <v>3.2879999999999998</v>
      </c>
      <c r="AF13">
        <v>2.1</v>
      </c>
      <c r="AG13">
        <v>3.6669999999999998</v>
      </c>
      <c r="AH13">
        <v>2.133</v>
      </c>
      <c r="AI13">
        <v>6.0667</v>
      </c>
      <c r="AJ13">
        <v>2.5830000000000002</v>
      </c>
      <c r="AK13">
        <v>2.9169999999999998</v>
      </c>
      <c r="AL13">
        <v>4.4000000000000004</v>
      </c>
      <c r="AM13">
        <v>1.617</v>
      </c>
      <c r="AN13">
        <v>9.8330000000000002</v>
      </c>
      <c r="AO13">
        <v>4.8499999999999996</v>
      </c>
      <c r="AP13">
        <v>2.7</v>
      </c>
      <c r="AQ13">
        <v>4.383</v>
      </c>
      <c r="AR13">
        <v>2.8170000000000002</v>
      </c>
      <c r="AS13">
        <v>12.782999999999999</v>
      </c>
      <c r="AT13">
        <v>2.0112999999999999</v>
      </c>
      <c r="AU13">
        <v>2.15</v>
      </c>
      <c r="AV13">
        <v>4.617</v>
      </c>
      <c r="AW13">
        <v>11.014699999999999</v>
      </c>
      <c r="AX13">
        <v>2.4169999999999998</v>
      </c>
      <c r="AY13">
        <v>3.6669999999999998</v>
      </c>
      <c r="BA13">
        <v>5.2329999999999997</v>
      </c>
      <c r="BB13">
        <v>1.833</v>
      </c>
      <c r="BC13">
        <v>3.05</v>
      </c>
      <c r="BD13">
        <v>16.283000000000001</v>
      </c>
      <c r="BE13">
        <v>7.9</v>
      </c>
      <c r="BF13">
        <v>3.9670000000000001</v>
      </c>
      <c r="BG13">
        <v>2.75</v>
      </c>
      <c r="BH13">
        <v>3.1669999999999998</v>
      </c>
      <c r="BI13">
        <v>3.9169999999999998</v>
      </c>
      <c r="BJ13">
        <v>5.5220000000000002</v>
      </c>
      <c r="BK13">
        <v>3.65</v>
      </c>
      <c r="BL13">
        <v>3.0979999999999999</v>
      </c>
      <c r="BM13">
        <v>1.9670000000000001</v>
      </c>
      <c r="BN13">
        <v>1.4330000000000001</v>
      </c>
      <c r="BO13">
        <v>3.1709999999999998</v>
      </c>
      <c r="BP13">
        <v>3.3519999999999999</v>
      </c>
      <c r="BQ13">
        <v>3.5670000000000002</v>
      </c>
      <c r="BR13">
        <v>5.4</v>
      </c>
      <c r="BS13">
        <v>4.0999999999999996</v>
      </c>
      <c r="BT13">
        <v>8.3140000000000001</v>
      </c>
      <c r="BU13">
        <v>2</v>
      </c>
      <c r="BV13">
        <v>2.5</v>
      </c>
      <c r="BW13">
        <v>2.7559999999999998</v>
      </c>
      <c r="BX13" t="s">
        <v>155</v>
      </c>
      <c r="BY13">
        <v>4.117</v>
      </c>
      <c r="CA13">
        <v>3.9830000000000001</v>
      </c>
      <c r="CB13">
        <v>3.2829999999999999</v>
      </c>
      <c r="CC13">
        <v>2.5329999999999999</v>
      </c>
      <c r="CD13">
        <v>6.4169999999999998</v>
      </c>
      <c r="CE13">
        <v>2.383</v>
      </c>
      <c r="CF13">
        <v>8.6829999999999998</v>
      </c>
      <c r="CG13">
        <v>6.9329999999999998</v>
      </c>
      <c r="CH13">
        <v>2.25</v>
      </c>
      <c r="CI13">
        <v>3.0832999999999999</v>
      </c>
      <c r="CJ13">
        <v>3.05</v>
      </c>
      <c r="CK13">
        <v>4.95</v>
      </c>
      <c r="CL13">
        <v>4.0332999999999997</v>
      </c>
      <c r="CM13">
        <v>5.25</v>
      </c>
      <c r="CN13">
        <v>2.2669999999999999</v>
      </c>
      <c r="CO13">
        <v>1.5</v>
      </c>
      <c r="CP13">
        <v>1.903</v>
      </c>
      <c r="CQ13">
        <v>2.383</v>
      </c>
    </row>
    <row r="14" spans="1:108" x14ac:dyDescent="0.25">
      <c r="A14" s="1" t="s">
        <v>31</v>
      </c>
      <c r="C14" s="11">
        <v>5.2169999999999996</v>
      </c>
      <c r="D14" s="11">
        <f>9+15/60</f>
        <v>9.25</v>
      </c>
      <c r="E14" s="11">
        <v>4.75</v>
      </c>
      <c r="F14" s="11">
        <v>2.1669999999999998</v>
      </c>
      <c r="G14" s="11">
        <f>4+2/60</f>
        <v>4.0333333333333332</v>
      </c>
      <c r="H14" s="11">
        <f>5+11/60</f>
        <v>5.1833333333333336</v>
      </c>
      <c r="I14" s="11">
        <v>3.4830000000000001</v>
      </c>
      <c r="J14" s="11">
        <v>3.0558000000000001</v>
      </c>
      <c r="K14" s="11">
        <v>7</v>
      </c>
      <c r="L14" s="58">
        <v>13.317</v>
      </c>
      <c r="M14" s="58">
        <v>3.9169999999999998</v>
      </c>
      <c r="N14" s="59">
        <v>4.4669999999999996</v>
      </c>
      <c r="O14" s="58">
        <v>5.0833000000000004</v>
      </c>
      <c r="P14" s="72">
        <v>3.3330000000000002</v>
      </c>
      <c r="Q14" s="72">
        <v>6.6669999999999998</v>
      </c>
      <c r="R14" s="72">
        <v>2.2650000000000001</v>
      </c>
      <c r="S14" s="72">
        <v>7.3330000000000002</v>
      </c>
      <c r="T14" s="72">
        <v>4.633</v>
      </c>
      <c r="U14" s="72">
        <v>9.7669999999999995</v>
      </c>
      <c r="V14" s="76" t="s">
        <v>62</v>
      </c>
      <c r="W14" s="72">
        <v>3.4</v>
      </c>
      <c r="X14" s="72">
        <v>2.867</v>
      </c>
      <c r="Y14" s="72">
        <v>4.1500000000000004</v>
      </c>
      <c r="Z14" t="s">
        <v>211</v>
      </c>
      <c r="AA14">
        <v>2.5</v>
      </c>
      <c r="AB14">
        <v>3.8170000000000002</v>
      </c>
      <c r="AC14">
        <v>3.0194999999999999</v>
      </c>
      <c r="AD14">
        <v>2.5209999999999999</v>
      </c>
      <c r="AE14" t="s">
        <v>155</v>
      </c>
      <c r="AF14">
        <v>3.0832999999999999</v>
      </c>
      <c r="AG14">
        <v>6.4</v>
      </c>
      <c r="AH14">
        <v>2.633</v>
      </c>
      <c r="AI14">
        <v>6.3</v>
      </c>
      <c r="AJ14">
        <v>4.7</v>
      </c>
      <c r="AK14">
        <v>5</v>
      </c>
      <c r="AL14">
        <v>5.1669999999999998</v>
      </c>
      <c r="AM14">
        <v>2.2829999999999999</v>
      </c>
      <c r="AN14">
        <v>10.25</v>
      </c>
      <c r="AO14">
        <v>6.3330000000000002</v>
      </c>
      <c r="AP14">
        <v>3.6</v>
      </c>
      <c r="AQ14">
        <v>4.883</v>
      </c>
      <c r="AR14">
        <v>3.7829999999999999</v>
      </c>
      <c r="AS14">
        <v>15.417</v>
      </c>
      <c r="AT14">
        <v>2.1850000000000001</v>
      </c>
      <c r="AU14">
        <v>3.0167000000000002</v>
      </c>
      <c r="AV14">
        <v>6.883</v>
      </c>
      <c r="AW14">
        <v>16.033300000000001</v>
      </c>
      <c r="AX14">
        <v>5.5</v>
      </c>
      <c r="AY14" t="s">
        <v>155</v>
      </c>
      <c r="BA14">
        <v>8.2330000000000005</v>
      </c>
      <c r="BB14">
        <v>2.3330000000000002</v>
      </c>
      <c r="BC14">
        <v>4.1500000000000004</v>
      </c>
      <c r="BD14">
        <v>16.55</v>
      </c>
      <c r="BE14">
        <v>8.1669999999999998</v>
      </c>
      <c r="BF14">
        <v>4.6669999999999998</v>
      </c>
      <c r="BG14">
        <v>4.0167000000000002</v>
      </c>
      <c r="BH14">
        <v>4.9169999999999998</v>
      </c>
      <c r="BI14">
        <v>4.8330000000000002</v>
      </c>
      <c r="BJ14">
        <v>6.37</v>
      </c>
      <c r="BK14">
        <v>4.0999999999999996</v>
      </c>
      <c r="BL14">
        <v>7.0323000000000002</v>
      </c>
      <c r="BM14">
        <v>4.383</v>
      </c>
      <c r="BN14">
        <v>1.9330000000000001</v>
      </c>
      <c r="BO14">
        <v>3.5750000000000002</v>
      </c>
      <c r="BP14">
        <v>4.0877999999999997</v>
      </c>
      <c r="BQ14">
        <v>4.2830000000000004</v>
      </c>
      <c r="BR14">
        <v>6.4</v>
      </c>
      <c r="BS14">
        <v>5.5</v>
      </c>
      <c r="BT14">
        <v>9.0685000000000002</v>
      </c>
      <c r="BU14">
        <v>2.8330000000000002</v>
      </c>
      <c r="BV14">
        <v>3.4169999999999998</v>
      </c>
      <c r="BW14">
        <v>2.8820000000000001</v>
      </c>
      <c r="BX14" t="s">
        <v>155</v>
      </c>
      <c r="BY14">
        <v>5.5</v>
      </c>
      <c r="BZ14" t="s">
        <v>155</v>
      </c>
      <c r="CA14">
        <v>6.2169999999999996</v>
      </c>
      <c r="CB14">
        <v>3.6</v>
      </c>
      <c r="CC14">
        <v>2.9</v>
      </c>
      <c r="CD14">
        <v>8.4329999999999998</v>
      </c>
      <c r="CE14">
        <v>2.8330000000000002</v>
      </c>
      <c r="CF14">
        <v>8.8829999999999991</v>
      </c>
      <c r="CG14">
        <v>7.7</v>
      </c>
      <c r="CH14">
        <v>2.8330000000000002</v>
      </c>
      <c r="CI14">
        <v>3.5830000000000002</v>
      </c>
      <c r="CJ14">
        <v>3.4329999999999998</v>
      </c>
      <c r="CK14" s="9">
        <v>6</v>
      </c>
      <c r="CL14">
        <v>5.633</v>
      </c>
      <c r="CM14">
        <v>6.25</v>
      </c>
      <c r="CN14" s="9">
        <v>3</v>
      </c>
      <c r="CO14">
        <v>2.617</v>
      </c>
      <c r="CP14">
        <v>2.371</v>
      </c>
      <c r="CQ14">
        <v>2.5499999999999998</v>
      </c>
    </row>
    <row r="15" spans="1:108" x14ac:dyDescent="0.25">
      <c r="A15" s="1" t="s">
        <v>32</v>
      </c>
      <c r="C15" s="11">
        <v>6.117</v>
      </c>
      <c r="D15" s="11">
        <f>18+23/60</f>
        <v>18.383333333333333</v>
      </c>
      <c r="E15" s="11">
        <v>6.7169999999999996</v>
      </c>
      <c r="F15" s="11">
        <v>2.6669999999999998</v>
      </c>
      <c r="G15" s="11">
        <f>4+11/60</f>
        <v>4.1833333333333336</v>
      </c>
      <c r="H15" s="11">
        <f>7+25/60</f>
        <v>7.416666666666667</v>
      </c>
      <c r="I15" s="11">
        <v>3.883</v>
      </c>
      <c r="J15" s="11"/>
      <c r="K15" s="11">
        <v>8.2829999999999995</v>
      </c>
      <c r="L15" s="58">
        <v>20.216999999999999</v>
      </c>
      <c r="M15" s="58">
        <v>4.1669999999999998</v>
      </c>
      <c r="N15" s="58">
        <v>4.5</v>
      </c>
      <c r="O15" s="58">
        <v>6.5670000000000002</v>
      </c>
      <c r="P15" s="76" t="s">
        <v>155</v>
      </c>
      <c r="Q15" s="72">
        <v>8.7170000000000005</v>
      </c>
      <c r="R15" s="76" t="s">
        <v>155</v>
      </c>
      <c r="S15" s="76">
        <v>8.1</v>
      </c>
      <c r="T15" s="72">
        <v>7.9329999999999998</v>
      </c>
      <c r="U15" s="72">
        <v>12.717000000000001</v>
      </c>
      <c r="V15" s="76" t="s">
        <v>62</v>
      </c>
      <c r="W15" s="76" t="s">
        <v>155</v>
      </c>
      <c r="X15" s="72">
        <v>3.5329999999999999</v>
      </c>
      <c r="Y15" s="76" t="s">
        <v>62</v>
      </c>
      <c r="Z15" t="s">
        <v>211</v>
      </c>
      <c r="AA15">
        <v>3.0167000000000002</v>
      </c>
      <c r="AB15">
        <v>4.0332999999999997</v>
      </c>
      <c r="AC15" t="s">
        <v>155</v>
      </c>
      <c r="AD15" t="s">
        <v>155</v>
      </c>
      <c r="AE15" t="s">
        <v>155</v>
      </c>
      <c r="AG15">
        <v>9.65</v>
      </c>
      <c r="AH15" t="s">
        <v>155</v>
      </c>
      <c r="AI15">
        <v>8.6329999999999991</v>
      </c>
      <c r="AJ15" t="s">
        <v>155</v>
      </c>
      <c r="AK15">
        <v>7.5</v>
      </c>
      <c r="AL15" t="s">
        <v>155</v>
      </c>
      <c r="AM15">
        <v>2.3330000000000002</v>
      </c>
      <c r="AN15" t="s">
        <v>155</v>
      </c>
      <c r="AO15" t="s">
        <v>155</v>
      </c>
      <c r="AP15" t="s">
        <v>155</v>
      </c>
      <c r="AQ15" t="s">
        <v>155</v>
      </c>
      <c r="AR15" t="s">
        <v>155</v>
      </c>
      <c r="AS15">
        <v>19.7</v>
      </c>
      <c r="AT15" t="s">
        <v>155</v>
      </c>
      <c r="AU15">
        <v>5.45</v>
      </c>
      <c r="AV15" t="s">
        <v>155</v>
      </c>
      <c r="AX15">
        <v>8</v>
      </c>
      <c r="AY15" t="s">
        <v>155</v>
      </c>
      <c r="AZ15">
        <v>2.6669999999999998</v>
      </c>
      <c r="BA15">
        <v>9.2330000000000005</v>
      </c>
      <c r="BB15" t="s">
        <v>155</v>
      </c>
      <c r="BC15">
        <v>4.4329999999999998</v>
      </c>
      <c r="BD15" t="s">
        <v>155</v>
      </c>
      <c r="BE15" t="s">
        <v>155</v>
      </c>
      <c r="BF15">
        <v>4.6669999999999998</v>
      </c>
      <c r="BG15">
        <v>4.6500000000000004</v>
      </c>
      <c r="BH15">
        <v>5.1669999999999998</v>
      </c>
      <c r="BI15">
        <v>5.5</v>
      </c>
      <c r="BJ15" t="s">
        <v>155</v>
      </c>
      <c r="BL15" t="s">
        <v>155</v>
      </c>
      <c r="BM15" t="s">
        <v>155</v>
      </c>
      <c r="BN15" t="s">
        <v>155</v>
      </c>
      <c r="BO15" t="s">
        <v>155</v>
      </c>
      <c r="BP15">
        <v>6.0292000000000003</v>
      </c>
      <c r="BQ15">
        <v>6.2670000000000003</v>
      </c>
      <c r="BR15">
        <v>9.3170000000000002</v>
      </c>
      <c r="BS15">
        <v>8.25</v>
      </c>
      <c r="BT15">
        <v>9.5730000000000004</v>
      </c>
      <c r="BU15">
        <v>3</v>
      </c>
      <c r="BW15">
        <v>3.9089999999999998</v>
      </c>
      <c r="BX15" t="s">
        <v>155</v>
      </c>
      <c r="BY15">
        <v>6.25</v>
      </c>
      <c r="BZ15" t="s">
        <v>155</v>
      </c>
      <c r="CA15">
        <v>10.033300000000001</v>
      </c>
      <c r="CB15">
        <v>5.0999999999999996</v>
      </c>
      <c r="CC15">
        <v>3.4830000000000001</v>
      </c>
      <c r="CE15">
        <v>2.9329999999999998</v>
      </c>
      <c r="CF15" t="s">
        <v>155</v>
      </c>
      <c r="CG15" t="s">
        <v>155</v>
      </c>
      <c r="CH15">
        <v>3.1</v>
      </c>
      <c r="CI15">
        <v>4.6829999999999998</v>
      </c>
      <c r="CJ15">
        <v>3.5830000000000002</v>
      </c>
      <c r="CK15">
        <v>8.8000000000000007</v>
      </c>
      <c r="CL15" t="s">
        <v>155</v>
      </c>
      <c r="CN15">
        <v>7.6</v>
      </c>
      <c r="CO15">
        <v>3.9830000000000001</v>
      </c>
      <c r="CP15" t="s">
        <v>155</v>
      </c>
      <c r="CQ15">
        <v>3.9830000000000001</v>
      </c>
    </row>
    <row r="16" spans="1:108" x14ac:dyDescent="0.25">
      <c r="A16" s="1" t="s">
        <v>33</v>
      </c>
      <c r="B16" s="11">
        <f>4+47/60</f>
        <v>4.7833333333333332</v>
      </c>
      <c r="C16" s="11">
        <v>0.41699999999999998</v>
      </c>
      <c r="D16" s="11">
        <f>15/60</f>
        <v>0.25</v>
      </c>
      <c r="E16" s="11">
        <v>0.1</v>
      </c>
      <c r="F16" s="11">
        <v>0.16700000000000001</v>
      </c>
      <c r="G16" s="11">
        <f>30/60</f>
        <v>0.5</v>
      </c>
      <c r="H16" s="11">
        <f>51/60</f>
        <v>0.85</v>
      </c>
      <c r="I16" s="11">
        <v>0.46700000000000003</v>
      </c>
      <c r="J16" s="11">
        <v>0.12</v>
      </c>
      <c r="K16" s="11">
        <v>0.5</v>
      </c>
      <c r="L16" s="58">
        <v>1.0169999999999999</v>
      </c>
      <c r="M16" s="58">
        <v>0.33300000000000002</v>
      </c>
      <c r="N16" s="58">
        <v>0.38300000000000001</v>
      </c>
      <c r="O16" s="58">
        <v>0.11700000000000001</v>
      </c>
      <c r="P16" s="72">
        <v>0.75</v>
      </c>
      <c r="Q16" s="72">
        <v>2.2170000000000001</v>
      </c>
      <c r="R16" s="72">
        <v>0.16700000000000001</v>
      </c>
      <c r="S16" s="72">
        <v>0.33300000000000002</v>
      </c>
      <c r="T16" s="72">
        <v>8.3299999999999999E-2</v>
      </c>
      <c r="U16" s="72">
        <v>0.61699999999999999</v>
      </c>
      <c r="V16" s="72">
        <v>6.6699999999999995E-2</v>
      </c>
      <c r="W16" s="72">
        <v>6.6699999999999995E-2</v>
      </c>
      <c r="X16" s="72">
        <v>8.3299999999999999E-2</v>
      </c>
      <c r="Y16" s="72">
        <v>0.28699999999999998</v>
      </c>
      <c r="Z16">
        <v>0.16700000000000001</v>
      </c>
      <c r="AA16">
        <v>0.33300000000000002</v>
      </c>
      <c r="AB16">
        <v>0.41699999999999998</v>
      </c>
      <c r="AC16">
        <v>0.11799999999999999</v>
      </c>
      <c r="AD16">
        <v>1.67E-2</v>
      </c>
      <c r="AE16">
        <v>2.5920000000000001</v>
      </c>
      <c r="AF16">
        <v>8.3299999999999999E-2</v>
      </c>
      <c r="AG16">
        <v>0.25</v>
      </c>
      <c r="AH16">
        <v>0.5</v>
      </c>
      <c r="AI16">
        <v>2.383</v>
      </c>
      <c r="AJ16">
        <v>8.6170000000000009</v>
      </c>
      <c r="AK16">
        <v>0.13300000000000001</v>
      </c>
      <c r="AL16">
        <v>0.23300000000000001</v>
      </c>
      <c r="AM16">
        <v>0.4</v>
      </c>
      <c r="AN16">
        <f>3/60</f>
        <v>0.05</v>
      </c>
      <c r="AO16">
        <v>1.667</v>
      </c>
      <c r="AP16">
        <v>0.05</v>
      </c>
      <c r="AQ16">
        <v>0.2</v>
      </c>
      <c r="AR16">
        <v>0.68300000000000005</v>
      </c>
      <c r="AS16">
        <v>0.2</v>
      </c>
      <c r="AT16">
        <v>9.8500000000000004E-2</v>
      </c>
      <c r="AU16">
        <v>5.4669999999999996</v>
      </c>
      <c r="AV16">
        <v>2.133</v>
      </c>
      <c r="AW16">
        <v>1.0009999999999999</v>
      </c>
      <c r="AX16">
        <v>1.67E-2</v>
      </c>
      <c r="AY16">
        <v>0.5</v>
      </c>
      <c r="BA16">
        <v>0.16700000000000001</v>
      </c>
      <c r="BB16">
        <v>0.46700000000000003</v>
      </c>
      <c r="BC16">
        <v>0.33300000000000002</v>
      </c>
      <c r="BD16">
        <v>0.25</v>
      </c>
      <c r="BE16">
        <v>0.11700000000000001</v>
      </c>
      <c r="BF16">
        <v>0.53300000000000003</v>
      </c>
      <c r="BG16">
        <v>0.46700000000000003</v>
      </c>
      <c r="BH16">
        <v>6.6699999999999995E-2</v>
      </c>
      <c r="BI16">
        <v>0.11700000000000001</v>
      </c>
      <c r="BJ16">
        <v>5.3800000000000001E-2</v>
      </c>
      <c r="BK16">
        <v>6.6699999999999995E-2</v>
      </c>
      <c r="BL16">
        <v>0.93100000000000005</v>
      </c>
      <c r="BM16">
        <v>0.217</v>
      </c>
      <c r="BN16">
        <v>0.05</v>
      </c>
      <c r="BO16">
        <v>2.802</v>
      </c>
      <c r="BP16">
        <v>1.1040000000000001</v>
      </c>
      <c r="BQ16">
        <v>0.11700000000000001</v>
      </c>
      <c r="BR16">
        <v>0.16700000000000001</v>
      </c>
      <c r="BS16">
        <v>6.6699999999999995E-2</v>
      </c>
      <c r="BT16">
        <v>4.5030000000000001</v>
      </c>
      <c r="BU16">
        <v>0.11700000000000001</v>
      </c>
      <c r="BV16">
        <v>3.3300000000000003E-2</v>
      </c>
      <c r="BW16">
        <v>0.13100000000000001</v>
      </c>
      <c r="BX16">
        <v>0.05</v>
      </c>
      <c r="BY16">
        <v>2.0167000000000002</v>
      </c>
      <c r="BZ16">
        <v>0.26700000000000002</v>
      </c>
      <c r="CA16">
        <v>0.25</v>
      </c>
      <c r="CB16">
        <v>3.3300000000000003E-2</v>
      </c>
      <c r="CC16">
        <v>1.67E-2</v>
      </c>
      <c r="CD16">
        <v>0.91700000000000004</v>
      </c>
      <c r="CE16">
        <v>0.83299999999999996</v>
      </c>
      <c r="CF16">
        <v>0.05</v>
      </c>
      <c r="CG16">
        <v>0.33300000000000002</v>
      </c>
      <c r="CH16">
        <v>0.51200000000000001</v>
      </c>
      <c r="CI16">
        <v>0.53300000000000003</v>
      </c>
      <c r="CJ16">
        <v>0.66700000000000004</v>
      </c>
      <c r="CK16">
        <v>1.35</v>
      </c>
      <c r="CL16">
        <v>0.16700000000000001</v>
      </c>
      <c r="CM16">
        <v>1.75</v>
      </c>
      <c r="CN16">
        <v>2.25</v>
      </c>
      <c r="CO16">
        <v>0.13300000000000001</v>
      </c>
      <c r="CP16">
        <v>8.7499999999999994E-2</v>
      </c>
      <c r="CQ16">
        <v>0.317</v>
      </c>
    </row>
    <row r="17" spans="1:95" x14ac:dyDescent="0.25">
      <c r="A17" s="1" t="s">
        <v>34</v>
      </c>
      <c r="B17" s="11">
        <f>5+19/60</f>
        <v>5.3166666666666664</v>
      </c>
      <c r="C17" s="11">
        <v>2.9329999999999998</v>
      </c>
      <c r="D17" s="11">
        <f>30/60</f>
        <v>0.5</v>
      </c>
      <c r="E17" s="11">
        <v>1.867</v>
      </c>
      <c r="F17" s="11">
        <v>1.2</v>
      </c>
      <c r="G17" s="11"/>
      <c r="H17" s="11">
        <f>1+34/60</f>
        <v>1.5666666666666667</v>
      </c>
      <c r="I17" s="11">
        <v>3.7170000000000001</v>
      </c>
      <c r="J17" s="11">
        <v>0.42799999999999999</v>
      </c>
      <c r="K17" s="11">
        <v>2.5</v>
      </c>
      <c r="L17" s="58">
        <v>1.85</v>
      </c>
      <c r="M17" s="58">
        <v>0.83299999999999996</v>
      </c>
      <c r="N17" s="58">
        <v>4.383</v>
      </c>
      <c r="O17" s="58">
        <v>12.167</v>
      </c>
      <c r="P17" s="72">
        <v>2.5</v>
      </c>
      <c r="Q17" s="72">
        <v>4.6669999999999998</v>
      </c>
      <c r="R17" s="72">
        <v>0.84499999999999997</v>
      </c>
      <c r="S17" s="72">
        <v>0.66700000000000004</v>
      </c>
      <c r="T17" s="72">
        <v>0.28299999999999997</v>
      </c>
      <c r="U17" s="72">
        <v>1.2170000000000001</v>
      </c>
      <c r="V17" s="72">
        <v>1.5669999999999999</v>
      </c>
      <c r="W17" s="72">
        <v>0.56699999999999995</v>
      </c>
      <c r="X17" s="72">
        <v>5.5830000000000002</v>
      </c>
      <c r="Y17" s="72">
        <v>1.4830000000000001</v>
      </c>
      <c r="Z17">
        <v>2.3889999999999998</v>
      </c>
      <c r="AA17">
        <v>2.633</v>
      </c>
      <c r="AB17">
        <v>4.2830000000000004</v>
      </c>
      <c r="AC17">
        <v>0.58699999999999997</v>
      </c>
      <c r="AD17">
        <v>0.79200000000000004</v>
      </c>
      <c r="AE17">
        <v>3.6850000000000001</v>
      </c>
      <c r="AF17">
        <v>0.5</v>
      </c>
      <c r="AG17">
        <v>6.3330000000000002</v>
      </c>
      <c r="AH17">
        <v>1.5</v>
      </c>
      <c r="AI17">
        <v>2.5169999999999999</v>
      </c>
      <c r="AJ17">
        <v>11.617000000000001</v>
      </c>
      <c r="AK17">
        <v>0.83299999999999996</v>
      </c>
      <c r="AL17">
        <v>0.8</v>
      </c>
      <c r="AM17">
        <v>0.56699999999999995</v>
      </c>
      <c r="AN17">
        <v>0.25</v>
      </c>
      <c r="AO17">
        <v>1.85</v>
      </c>
      <c r="AP17">
        <v>0.83299999999999996</v>
      </c>
      <c r="AQ17">
        <v>1.0166999999999999</v>
      </c>
      <c r="AR17">
        <v>2.1669999999999998</v>
      </c>
      <c r="AS17">
        <v>1.417</v>
      </c>
      <c r="AT17">
        <v>0.216</v>
      </c>
      <c r="AU17">
        <v>6.4169999999999998</v>
      </c>
      <c r="AV17">
        <v>2.5329999999999999</v>
      </c>
      <c r="AW17">
        <v>1.3460000000000001</v>
      </c>
      <c r="AX17">
        <v>0.36699999999999999</v>
      </c>
      <c r="AY17">
        <v>8.25</v>
      </c>
      <c r="BA17">
        <v>3.3330000000000002</v>
      </c>
      <c r="BB17">
        <v>2.0167000000000002</v>
      </c>
      <c r="BC17">
        <v>1.65</v>
      </c>
      <c r="BD17">
        <v>2.25</v>
      </c>
      <c r="BE17">
        <v>1.55</v>
      </c>
      <c r="BF17">
        <v>1.7330000000000001</v>
      </c>
      <c r="BG17">
        <v>1.65</v>
      </c>
      <c r="BH17">
        <v>0.83299999999999996</v>
      </c>
      <c r="BI17">
        <v>0.96699999999999997</v>
      </c>
      <c r="BJ17">
        <v>0.43099999999999999</v>
      </c>
      <c r="BK17">
        <v>0.26700000000000002</v>
      </c>
      <c r="BL17">
        <v>2.2120000000000002</v>
      </c>
      <c r="BM17">
        <v>1.167</v>
      </c>
      <c r="BN17">
        <v>0.13300000000000001</v>
      </c>
      <c r="BO17">
        <v>3.2349999999999999</v>
      </c>
      <c r="BP17">
        <v>3.0962999999999998</v>
      </c>
      <c r="BQ17">
        <v>1.0832999999999999</v>
      </c>
      <c r="BR17">
        <v>1.0717000000000001</v>
      </c>
      <c r="BS17">
        <v>0.433</v>
      </c>
      <c r="BT17">
        <v>10.882</v>
      </c>
      <c r="BU17">
        <v>2.4169999999999998</v>
      </c>
      <c r="BV17">
        <v>0.48299999999999998</v>
      </c>
      <c r="BW17">
        <v>0.216</v>
      </c>
      <c r="BX17">
        <v>3.35</v>
      </c>
      <c r="BY17">
        <v>3.2</v>
      </c>
      <c r="BZ17">
        <v>0.78300000000000003</v>
      </c>
      <c r="CA17">
        <v>1.25</v>
      </c>
      <c r="CB17">
        <v>0.91700000000000004</v>
      </c>
      <c r="CC17">
        <v>0.95</v>
      </c>
      <c r="CD17">
        <v>6.0167000000000002</v>
      </c>
      <c r="CE17">
        <v>1.117</v>
      </c>
      <c r="CF17">
        <v>3.2</v>
      </c>
      <c r="CG17">
        <v>0.66700000000000004</v>
      </c>
      <c r="CH17">
        <v>0.63700000000000001</v>
      </c>
      <c r="CI17">
        <v>0.63300000000000001</v>
      </c>
      <c r="CJ17">
        <v>11.9</v>
      </c>
      <c r="CK17">
        <v>3.133</v>
      </c>
      <c r="CL17">
        <v>2.9670000000000001</v>
      </c>
      <c r="CM17">
        <v>2.75</v>
      </c>
      <c r="CN17">
        <v>2.8170000000000002</v>
      </c>
      <c r="CO17">
        <v>0.23300000000000001</v>
      </c>
      <c r="CP17">
        <v>0.107</v>
      </c>
      <c r="CQ17">
        <v>6.0667</v>
      </c>
    </row>
    <row r="18" spans="1:95" x14ac:dyDescent="0.25">
      <c r="A18" s="1" t="s">
        <v>35</v>
      </c>
      <c r="B18" s="11">
        <f>7+24/60</f>
        <v>7.4</v>
      </c>
      <c r="C18" s="11">
        <v>3.3170000000000002</v>
      </c>
      <c r="D18" s="11">
        <f>45/60</f>
        <v>0.75</v>
      </c>
      <c r="E18" s="11">
        <v>5.9829999999999997</v>
      </c>
      <c r="F18" s="11">
        <v>2.0169999999999999</v>
      </c>
      <c r="G18" s="11">
        <f>5+35/60</f>
        <v>5.583333333333333</v>
      </c>
      <c r="H18" s="11">
        <f>1+45/60</f>
        <v>1.75</v>
      </c>
      <c r="I18" s="11">
        <v>4.45</v>
      </c>
      <c r="J18" s="11">
        <v>0.83899999999999997</v>
      </c>
      <c r="K18" s="11">
        <v>3.7170000000000001</v>
      </c>
      <c r="L18" s="58">
        <v>2.383</v>
      </c>
      <c r="M18" s="58">
        <v>1.75</v>
      </c>
      <c r="N18" s="58">
        <v>6.5670000000000002</v>
      </c>
      <c r="O18" s="58">
        <v>12.567</v>
      </c>
      <c r="P18" s="72">
        <v>4.25</v>
      </c>
      <c r="Q18" s="72">
        <v>5.6829999999999998</v>
      </c>
      <c r="R18" s="72">
        <v>1.2529999999999999</v>
      </c>
      <c r="S18" s="72">
        <v>1.667</v>
      </c>
      <c r="T18" s="72">
        <v>0.55000000000000004</v>
      </c>
      <c r="U18" s="72">
        <v>3.15</v>
      </c>
      <c r="V18" s="77">
        <v>3</v>
      </c>
      <c r="W18" s="72">
        <v>0.95</v>
      </c>
      <c r="X18" s="72">
        <v>8.1669999999999998</v>
      </c>
      <c r="Y18" s="72">
        <v>5.0999999999999996</v>
      </c>
      <c r="Z18">
        <v>3.911</v>
      </c>
      <c r="AA18">
        <v>2.9670000000000001</v>
      </c>
      <c r="AB18">
        <v>5.9</v>
      </c>
      <c r="AC18">
        <v>0.95199999999999996</v>
      </c>
      <c r="AD18">
        <v>1.478</v>
      </c>
      <c r="AE18">
        <v>8.173</v>
      </c>
      <c r="AF18">
        <v>3.0832999999999999</v>
      </c>
      <c r="AG18">
        <v>8.9670000000000005</v>
      </c>
      <c r="AH18">
        <v>2.75</v>
      </c>
      <c r="AI18">
        <v>2.5499999999999998</v>
      </c>
      <c r="AJ18">
        <v>14.662000000000001</v>
      </c>
      <c r="AK18">
        <v>2.6669999999999998</v>
      </c>
      <c r="AL18">
        <v>1.8169999999999999</v>
      </c>
      <c r="AM18">
        <v>1.7170000000000001</v>
      </c>
      <c r="AN18">
        <v>0.75</v>
      </c>
      <c r="AO18">
        <v>2.2669999999999999</v>
      </c>
      <c r="AP18">
        <v>1.417</v>
      </c>
      <c r="AQ18">
        <v>2.2170000000000001</v>
      </c>
      <c r="AR18">
        <v>6.1669999999999998</v>
      </c>
      <c r="AS18">
        <v>2.1669999999999998</v>
      </c>
      <c r="AT18">
        <v>0.71299999999999997</v>
      </c>
      <c r="AU18">
        <v>6.7329999999999997</v>
      </c>
      <c r="AV18">
        <v>6.0332999999999997</v>
      </c>
      <c r="AW18">
        <v>1.8460000000000001</v>
      </c>
      <c r="AX18">
        <v>1.117</v>
      </c>
      <c r="AY18">
        <v>11.333</v>
      </c>
      <c r="BA18">
        <v>5.3330000000000002</v>
      </c>
      <c r="BB18">
        <v>9.1329999999999991</v>
      </c>
      <c r="BC18">
        <v>3.0667</v>
      </c>
      <c r="BD18">
        <v>3.5</v>
      </c>
      <c r="BE18">
        <v>2.1829999999999998</v>
      </c>
      <c r="BF18">
        <v>4.2670000000000003</v>
      </c>
      <c r="BG18">
        <v>3.7170000000000001</v>
      </c>
      <c r="BH18">
        <v>2.6</v>
      </c>
      <c r="BI18">
        <v>4</v>
      </c>
      <c r="BJ18">
        <v>1.198</v>
      </c>
      <c r="BK18">
        <v>0.61699999999999999</v>
      </c>
      <c r="BL18">
        <v>2.86</v>
      </c>
      <c r="BM18">
        <v>1.75</v>
      </c>
      <c r="BN18">
        <v>1.65</v>
      </c>
      <c r="BO18">
        <v>3.8340000000000001</v>
      </c>
      <c r="BP18">
        <v>4.7649999999999997</v>
      </c>
      <c r="BQ18">
        <v>2.2829999999999999</v>
      </c>
      <c r="BR18">
        <v>1.4</v>
      </c>
      <c r="BS18">
        <v>1.117</v>
      </c>
      <c r="BT18">
        <v>11.257999999999999</v>
      </c>
      <c r="BU18">
        <v>7.6</v>
      </c>
      <c r="BV18">
        <v>1.583</v>
      </c>
      <c r="BW18">
        <v>0.64900000000000002</v>
      </c>
      <c r="BX18">
        <v>4</v>
      </c>
      <c r="BY18">
        <v>7.6669999999999998</v>
      </c>
      <c r="BZ18">
        <v>1.2829999999999999</v>
      </c>
      <c r="CA18">
        <v>5.383</v>
      </c>
      <c r="CB18">
        <v>1.45</v>
      </c>
      <c r="CC18">
        <v>1.4670000000000001</v>
      </c>
      <c r="CD18">
        <v>8.4830000000000005</v>
      </c>
      <c r="CE18">
        <v>1.5</v>
      </c>
      <c r="CF18">
        <v>5.5830000000000002</v>
      </c>
      <c r="CG18">
        <v>5.8170000000000002</v>
      </c>
      <c r="CH18">
        <v>2.2730000000000001</v>
      </c>
      <c r="CI18">
        <v>4.5830000000000002</v>
      </c>
      <c r="CJ18">
        <v>12.45</v>
      </c>
      <c r="CK18">
        <v>5.75</v>
      </c>
      <c r="CL18">
        <v>3.8</v>
      </c>
      <c r="CM18">
        <v>4.75</v>
      </c>
      <c r="CN18">
        <v>3.3170000000000002</v>
      </c>
      <c r="CO18">
        <v>3.5830000000000002</v>
      </c>
      <c r="CP18">
        <v>1.1379999999999999</v>
      </c>
      <c r="CQ18">
        <v>8.0667000000000009</v>
      </c>
    </row>
    <row r="19" spans="1:95" x14ac:dyDescent="0.25">
      <c r="A19" s="1" t="s">
        <v>36</v>
      </c>
      <c r="B19" s="11">
        <f>11+5/60</f>
        <v>11.083333333333334</v>
      </c>
      <c r="C19" s="11">
        <v>9.0830000000000002</v>
      </c>
      <c r="D19" s="11">
        <f>4+15/60</f>
        <v>4.25</v>
      </c>
      <c r="E19" s="11">
        <v>9.2669999999999995</v>
      </c>
      <c r="F19" s="11">
        <v>4.6669999999999998</v>
      </c>
      <c r="G19" s="11">
        <f>8+15/60</f>
        <v>8.25</v>
      </c>
      <c r="H19" s="11">
        <f>6+30/60</f>
        <v>6.5</v>
      </c>
      <c r="I19" s="11">
        <v>9.9830000000000005</v>
      </c>
      <c r="J19" s="11">
        <v>4.3129999999999997</v>
      </c>
      <c r="K19" s="11">
        <v>7.0332999999999997</v>
      </c>
      <c r="L19" s="58">
        <v>13.083299999999999</v>
      </c>
      <c r="M19" s="58">
        <v>4.3330000000000002</v>
      </c>
      <c r="N19" s="59">
        <v>13.333</v>
      </c>
      <c r="O19" s="58">
        <v>17.533000000000001</v>
      </c>
      <c r="P19" s="72">
        <v>7.3330000000000002</v>
      </c>
      <c r="Q19" s="72">
        <v>15.867000000000001</v>
      </c>
      <c r="R19" s="72">
        <v>5.4269999999999996</v>
      </c>
      <c r="S19" s="72">
        <v>5.25</v>
      </c>
      <c r="T19" s="72">
        <v>10.733000000000001</v>
      </c>
      <c r="U19" s="72">
        <v>10.25</v>
      </c>
      <c r="V19" s="72">
        <v>5.75</v>
      </c>
      <c r="W19" s="72">
        <v>6.0167000000000002</v>
      </c>
      <c r="X19" s="72">
        <v>17.832999999999998</v>
      </c>
      <c r="Y19" s="72">
        <v>12.6</v>
      </c>
      <c r="Z19" t="s">
        <v>212</v>
      </c>
      <c r="AA19">
        <v>5</v>
      </c>
      <c r="AB19">
        <v>9.2170000000000005</v>
      </c>
      <c r="AC19">
        <v>5.95</v>
      </c>
      <c r="AD19">
        <v>7.28</v>
      </c>
      <c r="AE19">
        <v>10.75</v>
      </c>
      <c r="AF19">
        <v>5.117</v>
      </c>
      <c r="AG19">
        <v>12.6</v>
      </c>
      <c r="AH19">
        <v>6.75</v>
      </c>
      <c r="AI19">
        <v>9.1</v>
      </c>
      <c r="AJ19">
        <v>20.279</v>
      </c>
      <c r="AK19">
        <v>10.4</v>
      </c>
      <c r="AL19">
        <v>9.7829999999999995</v>
      </c>
      <c r="AM19">
        <v>4.4329999999999998</v>
      </c>
      <c r="AN19">
        <v>4.9169999999999998</v>
      </c>
      <c r="AO19">
        <v>3.9670000000000001</v>
      </c>
      <c r="AP19">
        <v>7.1669999999999998</v>
      </c>
      <c r="AQ19">
        <v>6.117</v>
      </c>
      <c r="AR19">
        <v>8.6329999999999991</v>
      </c>
      <c r="AS19">
        <v>7.9169999999999998</v>
      </c>
      <c r="AT19">
        <v>6.4619999999999997</v>
      </c>
      <c r="AU19">
        <v>9.9499999999999993</v>
      </c>
      <c r="AV19">
        <v>8.3330000000000002</v>
      </c>
      <c r="AW19">
        <v>5.375</v>
      </c>
      <c r="AX19">
        <v>6.617</v>
      </c>
      <c r="AY19">
        <v>15.25</v>
      </c>
      <c r="BA19">
        <v>7.3330000000000002</v>
      </c>
      <c r="BB19">
        <v>14.4</v>
      </c>
      <c r="BC19">
        <v>10.9</v>
      </c>
      <c r="BD19">
        <v>7.117</v>
      </c>
      <c r="BE19">
        <v>3</v>
      </c>
      <c r="BF19">
        <v>8.4329999999999998</v>
      </c>
      <c r="BG19">
        <v>6.9829999999999997</v>
      </c>
      <c r="BH19">
        <v>7.7670000000000003</v>
      </c>
      <c r="BI19">
        <v>8.1</v>
      </c>
      <c r="BJ19">
        <v>3.4529999999999998</v>
      </c>
      <c r="BK19">
        <v>4.55</v>
      </c>
      <c r="BL19">
        <v>3.9689999999999999</v>
      </c>
      <c r="BM19">
        <v>5</v>
      </c>
      <c r="BN19">
        <v>6.0667</v>
      </c>
      <c r="BO19">
        <v>5.6689999999999996</v>
      </c>
      <c r="BP19">
        <v>9.8049999999999997</v>
      </c>
      <c r="BQ19">
        <v>3.133</v>
      </c>
      <c r="BR19">
        <v>9.9</v>
      </c>
      <c r="BS19">
        <v>4.8499999999999996</v>
      </c>
      <c r="BT19">
        <v>13.694000000000001</v>
      </c>
      <c r="BU19">
        <v>10.417</v>
      </c>
      <c r="BV19">
        <v>3.4329999999999998</v>
      </c>
      <c r="BW19">
        <v>4.9429999999999996</v>
      </c>
      <c r="BX19">
        <v>5.5330000000000004</v>
      </c>
      <c r="BY19">
        <v>20.632999999999999</v>
      </c>
      <c r="BZ19">
        <v>4.3</v>
      </c>
      <c r="CA19">
        <v>10.35</v>
      </c>
      <c r="CB19">
        <v>4.867</v>
      </c>
      <c r="CC19">
        <v>4.2329999999999997</v>
      </c>
      <c r="CD19">
        <v>14.317</v>
      </c>
      <c r="CE19">
        <v>4.3499999999999996</v>
      </c>
      <c r="CF19">
        <v>11.833</v>
      </c>
      <c r="CG19">
        <v>14.266999999999999</v>
      </c>
      <c r="CH19">
        <v>8.282</v>
      </c>
      <c r="CI19">
        <v>7.2670000000000003</v>
      </c>
      <c r="CJ19">
        <v>15.7</v>
      </c>
      <c r="CK19">
        <v>13.167</v>
      </c>
      <c r="CL19">
        <v>9.15</v>
      </c>
      <c r="CM19">
        <v>9.75</v>
      </c>
      <c r="CN19">
        <v>6.7169999999999996</v>
      </c>
      <c r="CO19" s="9">
        <v>9</v>
      </c>
      <c r="CP19">
        <v>15.581</v>
      </c>
      <c r="CQ19">
        <v>13.567</v>
      </c>
    </row>
    <row r="20" spans="1:95" x14ac:dyDescent="0.25">
      <c r="A20" s="1" t="s">
        <v>37</v>
      </c>
      <c r="B20" s="11">
        <f>42+48/60</f>
        <v>42.8</v>
      </c>
      <c r="C20" s="11">
        <v>35.116999999999997</v>
      </c>
      <c r="D20" s="11">
        <f>27+11/60</f>
        <v>27.183333333333334</v>
      </c>
      <c r="E20" s="11">
        <v>26.533000000000001</v>
      </c>
      <c r="F20" s="11">
        <v>25.75</v>
      </c>
      <c r="G20" s="11">
        <f>27+49/60</f>
        <v>27.816666666666666</v>
      </c>
      <c r="H20" s="11">
        <f>56+25/60</f>
        <v>56.416666666666664</v>
      </c>
      <c r="I20" s="11">
        <v>39.75</v>
      </c>
      <c r="J20" s="11">
        <v>28.539000000000001</v>
      </c>
      <c r="K20" s="11">
        <v>41</v>
      </c>
      <c r="L20" s="58">
        <v>35.317</v>
      </c>
      <c r="M20" s="58">
        <v>24.25</v>
      </c>
      <c r="N20" s="58">
        <v>38.216999999999999</v>
      </c>
      <c r="O20" s="58">
        <v>42.616999999999997</v>
      </c>
      <c r="P20" s="72">
        <v>13.833</v>
      </c>
      <c r="Q20" s="72">
        <v>36.232999999999997</v>
      </c>
      <c r="R20" s="72">
        <v>17.21</v>
      </c>
      <c r="S20" s="72">
        <v>34.832999999999998</v>
      </c>
      <c r="T20" s="72">
        <v>38.633000000000003</v>
      </c>
      <c r="U20" s="72">
        <v>59.55</v>
      </c>
      <c r="V20" s="72">
        <v>30.433</v>
      </c>
      <c r="W20" s="72">
        <v>30.132999999999999</v>
      </c>
      <c r="X20" s="72">
        <v>44.25</v>
      </c>
      <c r="Y20" s="72">
        <v>29.8</v>
      </c>
      <c r="Z20">
        <v>23.033799999999999</v>
      </c>
      <c r="AA20">
        <v>12.85</v>
      </c>
      <c r="AB20">
        <v>50.133000000000003</v>
      </c>
      <c r="AC20">
        <v>27.331</v>
      </c>
      <c r="AD20">
        <v>22.65</v>
      </c>
      <c r="AE20">
        <v>44</v>
      </c>
      <c r="AF20">
        <v>39.683</v>
      </c>
      <c r="AG20">
        <v>29.75</v>
      </c>
      <c r="AH20">
        <v>26.433</v>
      </c>
      <c r="AI20">
        <v>25.117000000000001</v>
      </c>
      <c r="AJ20">
        <v>51.65</v>
      </c>
      <c r="AK20">
        <v>31.567</v>
      </c>
      <c r="AL20">
        <v>49.832999999999998</v>
      </c>
      <c r="AM20">
        <v>34.982999999999997</v>
      </c>
      <c r="AN20">
        <v>37.700000000000003</v>
      </c>
      <c r="AO20">
        <v>40.517000000000003</v>
      </c>
      <c r="AP20">
        <v>30.516999999999999</v>
      </c>
      <c r="AQ20">
        <v>21.167000000000002</v>
      </c>
      <c r="AR20">
        <v>31.75</v>
      </c>
      <c r="AS20">
        <v>11.2</v>
      </c>
      <c r="AT20">
        <v>57.15</v>
      </c>
      <c r="AU20">
        <v>34.883000000000003</v>
      </c>
      <c r="AV20">
        <v>36.482999999999997</v>
      </c>
      <c r="AW20">
        <v>17.971</v>
      </c>
      <c r="AX20">
        <v>48.616999999999997</v>
      </c>
      <c r="AY20">
        <v>56.5</v>
      </c>
      <c r="BA20">
        <v>27.332999999999998</v>
      </c>
      <c r="BB20">
        <v>52.332999999999998</v>
      </c>
      <c r="BC20">
        <v>55.95</v>
      </c>
      <c r="BD20">
        <v>20.45</v>
      </c>
      <c r="BE20">
        <v>58.5</v>
      </c>
      <c r="BF20">
        <v>41.533000000000001</v>
      </c>
      <c r="BG20">
        <v>39.216999999999999</v>
      </c>
      <c r="BH20">
        <v>26.582999999999998</v>
      </c>
      <c r="BI20">
        <v>28.882999999999999</v>
      </c>
      <c r="BJ20">
        <v>33.103999999999999</v>
      </c>
      <c r="BK20">
        <v>32.9</v>
      </c>
      <c r="BL20">
        <v>19.673999999999999</v>
      </c>
      <c r="BM20">
        <v>24.417000000000002</v>
      </c>
      <c r="BN20">
        <v>10.867000000000001</v>
      </c>
      <c r="BO20">
        <v>6.1879999999999997</v>
      </c>
      <c r="BP20">
        <v>34.840000000000003</v>
      </c>
      <c r="BQ20">
        <v>18.582999999999998</v>
      </c>
      <c r="BR20">
        <v>29.9</v>
      </c>
      <c r="BS20">
        <v>24.917000000000002</v>
      </c>
      <c r="BT20">
        <v>57.767000000000003</v>
      </c>
      <c r="BU20">
        <v>25.317</v>
      </c>
      <c r="BV20">
        <v>31.6</v>
      </c>
      <c r="BW20">
        <v>44.216999999999999</v>
      </c>
      <c r="BX20">
        <v>38.25</v>
      </c>
      <c r="BY20">
        <v>64.167000000000002</v>
      </c>
      <c r="BZ20">
        <v>33.667000000000002</v>
      </c>
      <c r="CA20">
        <v>46.616999999999997</v>
      </c>
      <c r="CB20">
        <v>6.2329999999999997</v>
      </c>
      <c r="CC20">
        <v>7.3330000000000002</v>
      </c>
      <c r="CD20">
        <v>33.633000000000003</v>
      </c>
      <c r="CE20">
        <v>6.367</v>
      </c>
      <c r="CF20">
        <v>48.75</v>
      </c>
      <c r="CG20">
        <v>41.9</v>
      </c>
      <c r="CH20">
        <v>35.1</v>
      </c>
      <c r="CI20">
        <v>12.083299999999999</v>
      </c>
      <c r="CJ20">
        <v>17.7</v>
      </c>
      <c r="CK20">
        <v>49.667000000000002</v>
      </c>
      <c r="CL20">
        <v>26.266999999999999</v>
      </c>
      <c r="CM20">
        <v>59.75</v>
      </c>
      <c r="CN20">
        <v>29.132999999999999</v>
      </c>
      <c r="CO20" s="9">
        <v>52</v>
      </c>
      <c r="CP20">
        <v>62.366999999999997</v>
      </c>
      <c r="CQ20">
        <v>32.066699999999997</v>
      </c>
    </row>
    <row r="21" spans="1:95" x14ac:dyDescent="0.25">
      <c r="A21" s="1" t="s">
        <v>38</v>
      </c>
      <c r="B21" s="11">
        <f>45+11/60</f>
        <v>45.18333333333333</v>
      </c>
      <c r="C21" s="11">
        <v>35.517000000000003</v>
      </c>
      <c r="D21" s="11"/>
      <c r="E21" s="11">
        <v>28.2</v>
      </c>
      <c r="F21" s="11">
        <v>25.95</v>
      </c>
      <c r="G21" s="11"/>
      <c r="H21" s="11">
        <f>57</f>
        <v>57</v>
      </c>
      <c r="I21" s="11">
        <v>42.582999999999998</v>
      </c>
      <c r="J21" s="11">
        <v>29.021000000000001</v>
      </c>
      <c r="K21" s="11">
        <v>42</v>
      </c>
      <c r="L21" s="58">
        <v>36.267000000000003</v>
      </c>
      <c r="M21" s="58">
        <v>24.75</v>
      </c>
      <c r="N21" s="58">
        <v>38.832999999999998</v>
      </c>
      <c r="O21" s="58">
        <v>46.732999999999997</v>
      </c>
      <c r="P21" s="77">
        <v>14</v>
      </c>
      <c r="Q21" s="72">
        <v>38.466999999999999</v>
      </c>
      <c r="R21" s="72">
        <v>19.440000000000001</v>
      </c>
      <c r="S21" s="72">
        <v>35.5</v>
      </c>
      <c r="T21" s="72">
        <v>39.25</v>
      </c>
      <c r="U21" s="72">
        <v>62.283000000000001</v>
      </c>
      <c r="V21" s="72">
        <v>31.632999999999999</v>
      </c>
      <c r="W21" s="76" t="s">
        <v>62</v>
      </c>
      <c r="X21" s="72">
        <v>48.482999999999997</v>
      </c>
      <c r="Y21" s="72">
        <v>31.117000000000001</v>
      </c>
      <c r="Z21">
        <v>23.423999999999999</v>
      </c>
      <c r="AA21">
        <v>15.4</v>
      </c>
      <c r="AB21">
        <v>51.417000000000002</v>
      </c>
      <c r="AC21">
        <v>28.046700000000001</v>
      </c>
      <c r="AD21">
        <v>23.181000000000001</v>
      </c>
      <c r="AE21">
        <v>45.15</v>
      </c>
      <c r="AF21">
        <v>40.832999999999998</v>
      </c>
      <c r="AG21">
        <v>30.5</v>
      </c>
      <c r="AH21">
        <v>29.45</v>
      </c>
      <c r="AI21">
        <v>45</v>
      </c>
      <c r="AJ21">
        <v>52.116999999999997</v>
      </c>
      <c r="AK21">
        <v>35.832999999999998</v>
      </c>
      <c r="AL21">
        <v>50.667000000000002</v>
      </c>
      <c r="AM21">
        <v>36.15</v>
      </c>
      <c r="AO21">
        <v>41.582999999999998</v>
      </c>
      <c r="AP21">
        <v>32.1</v>
      </c>
      <c r="AR21">
        <v>33.866999999999997</v>
      </c>
      <c r="AS21">
        <v>14.6</v>
      </c>
      <c r="AT21">
        <v>60.05</v>
      </c>
      <c r="AU21">
        <v>35.982999999999997</v>
      </c>
      <c r="AV21">
        <v>37.832999999999998</v>
      </c>
      <c r="AW21">
        <v>19.966999999999999</v>
      </c>
      <c r="AX21">
        <v>51.116999999999997</v>
      </c>
      <c r="AY21">
        <v>63</v>
      </c>
      <c r="BA21">
        <v>27.832999999999998</v>
      </c>
      <c r="BB21">
        <v>52.75</v>
      </c>
      <c r="BC21">
        <v>57.033299999999997</v>
      </c>
      <c r="BD21">
        <v>20.8</v>
      </c>
      <c r="BE21">
        <v>61.533000000000001</v>
      </c>
      <c r="BF21">
        <v>43.283000000000001</v>
      </c>
      <c r="BG21">
        <v>42</v>
      </c>
      <c r="BH21">
        <v>29.433</v>
      </c>
      <c r="BI21">
        <v>31.45</v>
      </c>
      <c r="BK21">
        <v>35.966999999999999</v>
      </c>
      <c r="BL21">
        <v>19.984000000000002</v>
      </c>
      <c r="BM21">
        <v>25.832999999999998</v>
      </c>
      <c r="BN21">
        <v>12.45</v>
      </c>
      <c r="BO21">
        <v>6.6210000000000004</v>
      </c>
      <c r="BR21">
        <v>30.066700000000001</v>
      </c>
      <c r="BS21">
        <v>26.417000000000002</v>
      </c>
      <c r="BT21">
        <v>63.05</v>
      </c>
      <c r="BU21">
        <v>25.917000000000002</v>
      </c>
      <c r="BV21">
        <v>33.5</v>
      </c>
      <c r="BW21">
        <v>44.4</v>
      </c>
      <c r="BX21">
        <v>46.133000000000003</v>
      </c>
      <c r="BY21">
        <v>66.25</v>
      </c>
      <c r="BZ21" t="s">
        <v>62</v>
      </c>
      <c r="CB21">
        <v>13.933</v>
      </c>
      <c r="CC21">
        <v>7.8330000000000002</v>
      </c>
      <c r="CE21">
        <v>7.0667</v>
      </c>
      <c r="CF21">
        <v>49.417000000000002</v>
      </c>
      <c r="CH21">
        <v>39.683</v>
      </c>
      <c r="CI21">
        <v>12.583</v>
      </c>
      <c r="CJ21">
        <v>18.25</v>
      </c>
      <c r="CK21">
        <v>50.7</v>
      </c>
      <c r="CL21">
        <v>27.283000000000001</v>
      </c>
      <c r="CM21">
        <v>61.75</v>
      </c>
      <c r="CO21" s="9">
        <v>55</v>
      </c>
      <c r="CP21">
        <v>65.466999999999999</v>
      </c>
      <c r="CQ21">
        <v>32.817</v>
      </c>
    </row>
    <row r="22" spans="1:95" x14ac:dyDescent="0.25">
      <c r="A22" s="1" t="s">
        <v>39</v>
      </c>
      <c r="B22" s="11">
        <f>47+40/60</f>
        <v>47.666666666666664</v>
      </c>
      <c r="C22" s="11">
        <v>36.216999999999999</v>
      </c>
      <c r="D22" s="11">
        <f>27+26/60</f>
        <v>27.433333333333334</v>
      </c>
      <c r="E22" s="11">
        <v>32.133000000000003</v>
      </c>
      <c r="F22" s="11">
        <v>26.5</v>
      </c>
      <c r="G22" s="11">
        <f>33+6/60</f>
        <v>33.1</v>
      </c>
      <c r="H22" s="11">
        <f>57+45/60</f>
        <v>57.75</v>
      </c>
      <c r="I22" s="11">
        <v>46.332999999999998</v>
      </c>
      <c r="J22" s="11">
        <v>29.388000000000002</v>
      </c>
      <c r="K22" s="11">
        <v>43</v>
      </c>
      <c r="L22" s="58">
        <v>37.083300000000001</v>
      </c>
      <c r="M22" s="58">
        <v>25.332999999999998</v>
      </c>
      <c r="N22" s="59">
        <v>45</v>
      </c>
      <c r="O22" s="58">
        <v>49.167000000000002</v>
      </c>
      <c r="P22" s="72">
        <v>16.5</v>
      </c>
      <c r="Q22" s="72">
        <v>39.1</v>
      </c>
      <c r="R22" s="76">
        <v>20.466000000000001</v>
      </c>
      <c r="S22" s="72">
        <v>36.167000000000002</v>
      </c>
      <c r="T22" s="76" t="s">
        <v>156</v>
      </c>
      <c r="U22" s="72">
        <v>64.716999999999999</v>
      </c>
      <c r="V22" s="72">
        <v>34.317</v>
      </c>
      <c r="W22" s="72">
        <v>30.582999999999998</v>
      </c>
      <c r="X22" s="72">
        <v>52.2</v>
      </c>
      <c r="Y22" s="72">
        <v>32.582999999999998</v>
      </c>
      <c r="Z22">
        <v>25.094200000000001</v>
      </c>
      <c r="AA22">
        <v>15.733000000000001</v>
      </c>
      <c r="AB22">
        <v>54.083300000000001</v>
      </c>
      <c r="AC22">
        <v>28.635999999999999</v>
      </c>
      <c r="AD22">
        <v>24.332999999999998</v>
      </c>
      <c r="AE22">
        <v>50.267000000000003</v>
      </c>
      <c r="AF22">
        <v>43.433</v>
      </c>
      <c r="AG22">
        <v>35.549999999999997</v>
      </c>
      <c r="AH22">
        <v>30.632999999999999</v>
      </c>
      <c r="AI22">
        <v>45.083300000000001</v>
      </c>
      <c r="AJ22">
        <v>54.567</v>
      </c>
      <c r="AK22">
        <v>38.633000000000003</v>
      </c>
      <c r="AL22">
        <v>51.783000000000001</v>
      </c>
      <c r="AM22">
        <v>37.299999999999997</v>
      </c>
      <c r="AN22">
        <v>40.75</v>
      </c>
      <c r="AO22">
        <v>43.667000000000002</v>
      </c>
      <c r="AP22">
        <v>34.883000000000003</v>
      </c>
      <c r="AQ22">
        <v>24.083300000000001</v>
      </c>
      <c r="AR22">
        <v>37.832999999999998</v>
      </c>
      <c r="AS22">
        <v>15.282999999999999</v>
      </c>
      <c r="AT22">
        <v>61.466999999999999</v>
      </c>
      <c r="AU22">
        <v>47.5</v>
      </c>
      <c r="AV22">
        <v>42.332999999999998</v>
      </c>
      <c r="AW22">
        <v>20.334</v>
      </c>
      <c r="AX22">
        <v>51.616999999999997</v>
      </c>
      <c r="AY22">
        <v>66.332999999999998</v>
      </c>
      <c r="BA22">
        <v>29.832999999999998</v>
      </c>
      <c r="BB22">
        <v>56.65</v>
      </c>
      <c r="BC22">
        <v>58.616999999999997</v>
      </c>
      <c r="BD22">
        <v>21.55</v>
      </c>
      <c r="BE22">
        <v>64.349999999999994</v>
      </c>
      <c r="BF22">
        <v>45.317</v>
      </c>
      <c r="BG22">
        <v>44.7</v>
      </c>
      <c r="BH22">
        <v>32.167000000000002</v>
      </c>
      <c r="BI22">
        <v>33.332999999999998</v>
      </c>
      <c r="BJ22">
        <v>54.505000000000003</v>
      </c>
      <c r="BK22">
        <v>36.517000000000003</v>
      </c>
      <c r="BL22">
        <v>20.702000000000002</v>
      </c>
      <c r="BM22">
        <v>27.25</v>
      </c>
      <c r="BN22">
        <v>13.132999999999999</v>
      </c>
      <c r="BO22">
        <v>6.952</v>
      </c>
      <c r="BP22">
        <v>37.558999999999997</v>
      </c>
      <c r="BQ22">
        <v>20.100000000000001</v>
      </c>
      <c r="BR22">
        <v>31.733000000000001</v>
      </c>
      <c r="BS22">
        <v>27.466999999999999</v>
      </c>
      <c r="BT22">
        <v>70.733000000000004</v>
      </c>
      <c r="BU22">
        <v>29.933</v>
      </c>
      <c r="BV22">
        <v>34.049999999999997</v>
      </c>
      <c r="BW22">
        <v>45.2</v>
      </c>
      <c r="BX22">
        <v>48.633000000000003</v>
      </c>
      <c r="BY22">
        <v>71.382999999999996</v>
      </c>
      <c r="BZ22">
        <v>33.832999999999998</v>
      </c>
      <c r="CA22">
        <v>50.667000000000002</v>
      </c>
      <c r="CB22" s="9">
        <v>16</v>
      </c>
      <c r="CC22">
        <v>8.3330000000000002</v>
      </c>
      <c r="CD22">
        <v>37.35</v>
      </c>
      <c r="CE22">
        <v>7.5670000000000002</v>
      </c>
      <c r="CF22">
        <v>50.9</v>
      </c>
      <c r="CG22">
        <v>47.8</v>
      </c>
      <c r="CH22">
        <v>43.783000000000001</v>
      </c>
      <c r="CI22">
        <v>16.582999999999998</v>
      </c>
      <c r="CJ22">
        <v>18.600000000000001</v>
      </c>
      <c r="CK22">
        <v>53.133000000000003</v>
      </c>
      <c r="CL22">
        <v>29.65</v>
      </c>
      <c r="CM22" s="9">
        <v>64</v>
      </c>
      <c r="CN22">
        <v>29.632999999999999</v>
      </c>
      <c r="CO22" s="9">
        <v>56</v>
      </c>
      <c r="CP22">
        <v>67.5</v>
      </c>
      <c r="CQ22">
        <v>34.817</v>
      </c>
    </row>
    <row r="23" spans="1:95" x14ac:dyDescent="0.25">
      <c r="A23" s="1" t="s">
        <v>40</v>
      </c>
      <c r="B23" s="11">
        <f>49+22/60</f>
        <v>49.366666666666667</v>
      </c>
      <c r="C23" s="11">
        <v>40.4</v>
      </c>
      <c r="D23" s="11">
        <f>33+29/60</f>
        <v>33.483333333333334</v>
      </c>
      <c r="E23" s="11">
        <v>34.866999999999997</v>
      </c>
      <c r="F23" s="11">
        <v>27</v>
      </c>
      <c r="G23" s="11">
        <f>35+31/60</f>
        <v>35.516666666666666</v>
      </c>
      <c r="H23" s="11">
        <f>59+33/60</f>
        <v>59.55</v>
      </c>
      <c r="I23" s="11">
        <v>49.283000000000001</v>
      </c>
      <c r="J23" s="11">
        <v>30.317</v>
      </c>
      <c r="K23" s="11">
        <v>44.5</v>
      </c>
      <c r="L23" s="58">
        <v>38.950000000000003</v>
      </c>
      <c r="M23" s="58">
        <v>26.25</v>
      </c>
      <c r="N23" s="59">
        <v>44.832999999999998</v>
      </c>
      <c r="O23" s="58">
        <v>51</v>
      </c>
      <c r="P23" s="72">
        <v>20.75</v>
      </c>
      <c r="Q23" s="72">
        <v>43.716999999999999</v>
      </c>
      <c r="R23" s="76">
        <v>19.995999999999999</v>
      </c>
      <c r="S23" s="72">
        <v>37.667000000000002</v>
      </c>
      <c r="T23" s="72">
        <v>40.5</v>
      </c>
      <c r="U23" s="72">
        <v>67.483000000000004</v>
      </c>
      <c r="V23" s="72">
        <v>35.950000000000003</v>
      </c>
      <c r="W23" s="72">
        <v>33.75</v>
      </c>
      <c r="X23" s="72">
        <v>57.883000000000003</v>
      </c>
      <c r="Y23" s="72">
        <v>33.35</v>
      </c>
      <c r="Z23">
        <v>26.072299999999998</v>
      </c>
      <c r="AA23">
        <v>16.433</v>
      </c>
      <c r="AB23">
        <v>58.25</v>
      </c>
      <c r="AC23">
        <v>28.222000000000001</v>
      </c>
      <c r="AD23">
        <v>24.878</v>
      </c>
      <c r="AE23" t="s">
        <v>62</v>
      </c>
      <c r="AF23">
        <v>46.616999999999997</v>
      </c>
      <c r="AG23">
        <v>36.783000000000001</v>
      </c>
      <c r="AH23">
        <v>32.633000000000003</v>
      </c>
      <c r="AI23">
        <v>46</v>
      </c>
      <c r="AJ23">
        <v>55.783000000000001</v>
      </c>
      <c r="AK23">
        <v>40.25</v>
      </c>
      <c r="AL23">
        <v>55.116999999999997</v>
      </c>
      <c r="AM23">
        <v>39.450000000000003</v>
      </c>
      <c r="AN23">
        <v>39.9</v>
      </c>
      <c r="AO23">
        <v>44.582999999999998</v>
      </c>
      <c r="AP23">
        <v>34.4</v>
      </c>
      <c r="AQ23">
        <v>26.332999999999998</v>
      </c>
      <c r="AR23">
        <v>38.700000000000003</v>
      </c>
      <c r="AS23">
        <v>19.632999999999999</v>
      </c>
      <c r="AT23">
        <v>61.832999999999998</v>
      </c>
      <c r="AU23">
        <v>43.9</v>
      </c>
      <c r="AV23">
        <v>43.033299999999997</v>
      </c>
      <c r="AW23">
        <v>22.384</v>
      </c>
      <c r="AX23">
        <v>52.366999999999997</v>
      </c>
      <c r="AY23">
        <v>68</v>
      </c>
      <c r="AZ23">
        <v>40.5</v>
      </c>
      <c r="BA23">
        <v>30.332999999999998</v>
      </c>
      <c r="BB23">
        <v>57.683</v>
      </c>
      <c r="BC23">
        <v>60.866999999999997</v>
      </c>
      <c r="BD23">
        <v>23.132999999999999</v>
      </c>
      <c r="BE23">
        <v>66.083299999999994</v>
      </c>
      <c r="BF23">
        <v>47.517000000000003</v>
      </c>
      <c r="BG23">
        <v>46.75</v>
      </c>
      <c r="BH23">
        <v>34</v>
      </c>
      <c r="BI23">
        <v>34.5</v>
      </c>
      <c r="BJ23">
        <v>56.866999999999997</v>
      </c>
      <c r="BK23">
        <v>37.232999999999997</v>
      </c>
      <c r="BL23">
        <v>21.838999999999999</v>
      </c>
      <c r="BM23">
        <v>26.766999999999999</v>
      </c>
      <c r="BN23">
        <v>15.35</v>
      </c>
      <c r="BO23">
        <v>9.8149999999999995</v>
      </c>
      <c r="BP23">
        <v>43.000999999999998</v>
      </c>
      <c r="BQ23">
        <v>22.382999999999999</v>
      </c>
      <c r="BR23">
        <v>31.567</v>
      </c>
      <c r="BS23">
        <v>30.45</v>
      </c>
      <c r="BT23">
        <v>72.667000000000002</v>
      </c>
      <c r="BU23">
        <v>30.667000000000002</v>
      </c>
      <c r="BV23">
        <v>35.167000000000002</v>
      </c>
      <c r="BW23">
        <v>47.9</v>
      </c>
      <c r="BX23">
        <v>50.183</v>
      </c>
      <c r="BY23">
        <v>76.433000000000007</v>
      </c>
      <c r="BZ23">
        <v>46.15</v>
      </c>
      <c r="CA23">
        <v>54.65</v>
      </c>
      <c r="CB23">
        <v>18.350000000000001</v>
      </c>
      <c r="CC23">
        <v>9.3670000000000009</v>
      </c>
      <c r="CD23">
        <v>39.832999999999998</v>
      </c>
      <c r="CE23">
        <v>7.9169999999999998</v>
      </c>
      <c r="CG23">
        <v>51.267000000000003</v>
      </c>
      <c r="CH23">
        <v>45.95</v>
      </c>
      <c r="CI23">
        <v>17.332999999999998</v>
      </c>
      <c r="CJ23">
        <v>20.100000000000001</v>
      </c>
      <c r="CK23">
        <v>55.033299999999997</v>
      </c>
      <c r="CL23">
        <v>30.667000000000002</v>
      </c>
      <c r="CM23" s="9">
        <v>69</v>
      </c>
      <c r="CN23">
        <v>33.633000000000003</v>
      </c>
      <c r="CO23" s="9">
        <v>57</v>
      </c>
      <c r="CP23">
        <v>70.55</v>
      </c>
      <c r="CQ23" s="9">
        <v>37.799999999999997</v>
      </c>
    </row>
    <row r="24" spans="1:95" x14ac:dyDescent="0.25">
      <c r="A24" s="1" t="s">
        <v>41</v>
      </c>
      <c r="B24" s="11">
        <f>1+52/60</f>
        <v>1.8666666666666667</v>
      </c>
      <c r="C24" s="11">
        <v>1.05</v>
      </c>
      <c r="D24" s="11">
        <v>2</v>
      </c>
      <c r="E24" s="11">
        <v>0.5</v>
      </c>
      <c r="F24" s="11">
        <v>0.5</v>
      </c>
      <c r="G24" s="11">
        <f>2+1/60</f>
        <v>2.0166666666666666</v>
      </c>
      <c r="H24" s="11">
        <f>1+42/60</f>
        <v>1.7</v>
      </c>
      <c r="I24" s="11">
        <v>2.9</v>
      </c>
      <c r="J24" s="11">
        <v>1.0740000000000001</v>
      </c>
      <c r="K24" s="11">
        <v>2</v>
      </c>
      <c r="L24" s="58">
        <v>0.93300000000000005</v>
      </c>
      <c r="M24" s="58">
        <v>2.3330000000000002</v>
      </c>
      <c r="N24" s="58">
        <v>0.45</v>
      </c>
      <c r="O24" s="58">
        <v>1.617</v>
      </c>
      <c r="P24" s="72">
        <v>1.9</v>
      </c>
      <c r="Q24" s="72">
        <v>4.4329999999999998</v>
      </c>
      <c r="R24" s="72">
        <v>0.76300000000000001</v>
      </c>
      <c r="S24" s="72">
        <v>0.58299999999999996</v>
      </c>
      <c r="T24" s="72">
        <v>1.3</v>
      </c>
      <c r="U24" s="72">
        <v>2.8</v>
      </c>
      <c r="V24" s="72">
        <v>1.367</v>
      </c>
      <c r="W24" s="72">
        <v>0.88300000000000001</v>
      </c>
      <c r="X24" s="72">
        <v>0.98299999999999998</v>
      </c>
      <c r="Y24" s="72">
        <v>1.208</v>
      </c>
      <c r="Z24">
        <v>3.6040000000000001</v>
      </c>
      <c r="AA24">
        <v>3.9</v>
      </c>
      <c r="AB24">
        <v>1.1830000000000001</v>
      </c>
      <c r="AC24">
        <v>0.106</v>
      </c>
      <c r="AD24">
        <v>0.316</v>
      </c>
      <c r="AE24">
        <v>3.383</v>
      </c>
      <c r="AF24">
        <v>1.7669999999999999</v>
      </c>
      <c r="AG24">
        <v>0.25</v>
      </c>
      <c r="AH24">
        <v>1.167</v>
      </c>
      <c r="AI24">
        <v>4.25</v>
      </c>
      <c r="AJ24">
        <v>1.9830000000000001</v>
      </c>
      <c r="AK24">
        <v>0.5</v>
      </c>
      <c r="AL24">
        <v>2.4</v>
      </c>
      <c r="AM24">
        <v>1.1000000000000001</v>
      </c>
      <c r="AN24">
        <v>6.7</v>
      </c>
      <c r="AO24">
        <v>2.6</v>
      </c>
      <c r="AP24">
        <v>1.4</v>
      </c>
      <c r="AQ24">
        <v>1.167</v>
      </c>
      <c r="AR24">
        <v>1.4330000000000001</v>
      </c>
      <c r="AT24">
        <v>2.286</v>
      </c>
      <c r="AU24">
        <v>0.93300000000000005</v>
      </c>
      <c r="AV24">
        <v>1.117</v>
      </c>
      <c r="AW24">
        <v>3.9969999999999999</v>
      </c>
      <c r="AX24">
        <v>1.75</v>
      </c>
      <c r="AY24">
        <v>1.5</v>
      </c>
      <c r="BA24">
        <v>1</v>
      </c>
      <c r="BB24">
        <v>1.583</v>
      </c>
      <c r="BC24">
        <v>1.667</v>
      </c>
      <c r="BD24">
        <v>2.75</v>
      </c>
      <c r="BE24">
        <v>7.75</v>
      </c>
      <c r="BF24">
        <v>1.583</v>
      </c>
      <c r="BG24">
        <v>1.4830000000000001</v>
      </c>
      <c r="BH24">
        <v>1.3</v>
      </c>
      <c r="BI24">
        <v>1.2170000000000001</v>
      </c>
      <c r="BJ24">
        <v>2.9340000000000002</v>
      </c>
      <c r="BK24">
        <v>1.6</v>
      </c>
      <c r="BL24">
        <v>0.59399999999999997</v>
      </c>
      <c r="BM24">
        <v>1.367</v>
      </c>
      <c r="BN24">
        <v>1.2829999999999999</v>
      </c>
      <c r="BO24">
        <v>0.78200000000000003</v>
      </c>
      <c r="BP24">
        <v>1.3</v>
      </c>
      <c r="BR24">
        <v>1.917</v>
      </c>
      <c r="BS24">
        <v>1.867</v>
      </c>
      <c r="BT24">
        <v>4.37</v>
      </c>
      <c r="BU24">
        <v>1.167</v>
      </c>
      <c r="BV24">
        <v>1.333</v>
      </c>
      <c r="BW24">
        <v>1.698</v>
      </c>
      <c r="BX24">
        <v>1.05</v>
      </c>
      <c r="BY24" t="s">
        <v>62</v>
      </c>
      <c r="BZ24">
        <v>10.5</v>
      </c>
      <c r="CB24">
        <v>0.2</v>
      </c>
      <c r="CC24">
        <v>0.05</v>
      </c>
      <c r="CD24">
        <v>1.4</v>
      </c>
      <c r="CE24">
        <v>0.45</v>
      </c>
      <c r="CF24">
        <v>6.5830000000000002</v>
      </c>
      <c r="CG24">
        <v>1.8</v>
      </c>
      <c r="CH24">
        <v>1.1000000000000001</v>
      </c>
      <c r="CI24">
        <v>0.33300000000000002</v>
      </c>
      <c r="CJ24">
        <v>1.4</v>
      </c>
      <c r="CK24">
        <v>2.8330000000000002</v>
      </c>
      <c r="CL24" s="9">
        <v>3</v>
      </c>
      <c r="CM24">
        <v>1.7</v>
      </c>
      <c r="CN24">
        <v>0.88300000000000001</v>
      </c>
      <c r="CO24">
        <v>1.167</v>
      </c>
      <c r="CP24">
        <v>1.1060000000000001</v>
      </c>
      <c r="CQ24">
        <v>2.3330000000000002</v>
      </c>
    </row>
    <row r="25" spans="1:95" x14ac:dyDescent="0.25">
      <c r="A25" s="1" t="s">
        <v>42</v>
      </c>
      <c r="B25" s="11">
        <f>3+25/60</f>
        <v>3.4166666666666665</v>
      </c>
      <c r="C25" s="11">
        <v>1.833</v>
      </c>
      <c r="D25" s="11">
        <f>D24+2+15/60</f>
        <v>4.25</v>
      </c>
      <c r="E25" s="11">
        <v>1.083</v>
      </c>
      <c r="F25" s="11">
        <v>1.917</v>
      </c>
      <c r="G25" s="11">
        <f>2+33/60</f>
        <v>2.5499999999999998</v>
      </c>
      <c r="H25" s="11"/>
      <c r="I25" s="11">
        <v>4.2329999999999997</v>
      </c>
      <c r="J25" s="11">
        <v>1.534</v>
      </c>
      <c r="K25" s="11">
        <v>6</v>
      </c>
      <c r="L25" s="59"/>
      <c r="M25" s="58">
        <v>4.75</v>
      </c>
      <c r="N25" s="58">
        <v>1.55</v>
      </c>
      <c r="O25" s="58">
        <v>3.5169999999999999</v>
      </c>
      <c r="P25" s="77">
        <v>3</v>
      </c>
      <c r="Q25" s="72">
        <v>5.65</v>
      </c>
      <c r="R25" s="72">
        <v>1.2829999999999999</v>
      </c>
      <c r="S25" s="72">
        <v>1.1000000000000001</v>
      </c>
      <c r="T25" s="72">
        <v>3.0169999999999999</v>
      </c>
      <c r="U25" s="72">
        <v>3.7170000000000001</v>
      </c>
      <c r="V25" s="72">
        <v>1.7330000000000001</v>
      </c>
      <c r="W25" s="72">
        <v>2.8</v>
      </c>
      <c r="X25" s="72">
        <v>1.5669999999999999</v>
      </c>
      <c r="Y25" s="72">
        <v>1.8169999999999999</v>
      </c>
      <c r="Z25">
        <v>4.3849999999999998</v>
      </c>
      <c r="AA25">
        <v>4.1669999999999998</v>
      </c>
      <c r="AB25">
        <v>2</v>
      </c>
      <c r="AC25">
        <v>0.83399999999999996</v>
      </c>
      <c r="AD25">
        <v>1.869</v>
      </c>
      <c r="AE25">
        <v>4.6539999999999999</v>
      </c>
      <c r="AF25">
        <v>2.65</v>
      </c>
      <c r="AG25">
        <v>0.63300000000000001</v>
      </c>
      <c r="AH25">
        <v>3.7</v>
      </c>
      <c r="AI25">
        <v>6.25</v>
      </c>
      <c r="AJ25">
        <v>3.5</v>
      </c>
      <c r="AK25">
        <v>2.8330000000000002</v>
      </c>
      <c r="AL25">
        <v>3.9</v>
      </c>
      <c r="AM25">
        <v>1.4670000000000001</v>
      </c>
      <c r="AN25">
        <v>8.7330000000000005</v>
      </c>
      <c r="AO25">
        <v>3.633</v>
      </c>
      <c r="AP25">
        <v>2.4</v>
      </c>
      <c r="AQ25">
        <v>1.75</v>
      </c>
      <c r="AR25">
        <v>1.917</v>
      </c>
      <c r="AT25">
        <v>3.3029999999999999</v>
      </c>
      <c r="AU25">
        <v>1.2669999999999999</v>
      </c>
      <c r="AV25">
        <v>2.2829999999999999</v>
      </c>
      <c r="AW25">
        <v>8.9480000000000004</v>
      </c>
      <c r="AX25">
        <v>2.35</v>
      </c>
      <c r="AY25">
        <v>2</v>
      </c>
      <c r="BA25">
        <v>2</v>
      </c>
      <c r="BB25">
        <v>3.0832999999999999</v>
      </c>
      <c r="BC25">
        <v>2.0832999999999999</v>
      </c>
      <c r="BD25">
        <v>5</v>
      </c>
      <c r="BE25">
        <v>9.5169999999999995</v>
      </c>
      <c r="BF25">
        <v>2.25</v>
      </c>
      <c r="BG25">
        <v>2.4830000000000001</v>
      </c>
      <c r="BH25">
        <v>1.55</v>
      </c>
      <c r="BI25">
        <v>2.883</v>
      </c>
      <c r="BJ25">
        <v>3.355</v>
      </c>
      <c r="BK25">
        <v>2.2330000000000001</v>
      </c>
      <c r="BL25">
        <v>1.8819999999999999</v>
      </c>
      <c r="BM25">
        <v>2.6</v>
      </c>
      <c r="BN25">
        <v>1.4670000000000001</v>
      </c>
      <c r="BO25">
        <v>1.276</v>
      </c>
      <c r="BP25">
        <v>1.873</v>
      </c>
      <c r="BR25">
        <v>3.4169999999999998</v>
      </c>
      <c r="BS25">
        <v>2</v>
      </c>
      <c r="BT25">
        <v>8.3149999999999995</v>
      </c>
      <c r="BU25">
        <v>2</v>
      </c>
      <c r="BV25">
        <v>1.8</v>
      </c>
      <c r="BW25">
        <v>1.881</v>
      </c>
      <c r="BX25">
        <v>1.65</v>
      </c>
      <c r="BY25">
        <v>0.66700000000000004</v>
      </c>
      <c r="BZ25">
        <v>11.1</v>
      </c>
      <c r="CB25">
        <v>0.7</v>
      </c>
      <c r="CC25">
        <v>0.5</v>
      </c>
      <c r="CD25">
        <v>1.9</v>
      </c>
      <c r="CE25">
        <v>0.55000000000000004</v>
      </c>
      <c r="CF25">
        <v>7.617</v>
      </c>
      <c r="CG25">
        <v>2.5329999999999999</v>
      </c>
      <c r="CH25">
        <v>1.5169999999999999</v>
      </c>
      <c r="CI25">
        <v>0.58299999999999996</v>
      </c>
      <c r="CJ25">
        <v>2.1669999999999998</v>
      </c>
      <c r="CK25">
        <v>3.7330000000000001</v>
      </c>
      <c r="CL25">
        <v>4.05</v>
      </c>
      <c r="CM25">
        <v>2.2000000000000002</v>
      </c>
      <c r="CN25">
        <v>0.96699999999999997</v>
      </c>
      <c r="CO25">
        <v>2.1669999999999998</v>
      </c>
      <c r="CP25">
        <v>1.671</v>
      </c>
      <c r="CQ25">
        <v>4.1500000000000004</v>
      </c>
    </row>
    <row r="26" spans="1:95" x14ac:dyDescent="0.25">
      <c r="A26" s="1" t="s">
        <v>43</v>
      </c>
      <c r="B26" s="11">
        <f>4+1/60</f>
        <v>4.0166666666666666</v>
      </c>
      <c r="C26" s="11">
        <v>2.2330000000000001</v>
      </c>
      <c r="D26" s="11">
        <f>D25+2+10/60</f>
        <v>6.416666666666667</v>
      </c>
      <c r="E26" s="11">
        <v>1.3</v>
      </c>
      <c r="F26" s="11">
        <v>2.5499999999999998</v>
      </c>
      <c r="G26" s="11">
        <f>2+58/60</f>
        <v>2.9666666666666668</v>
      </c>
      <c r="H26" s="11"/>
      <c r="I26" s="11">
        <v>4.867</v>
      </c>
      <c r="J26" s="11">
        <v>1.754</v>
      </c>
      <c r="K26" s="11">
        <v>7</v>
      </c>
      <c r="L26" s="59"/>
      <c r="M26" s="58">
        <v>5.9169999999999998</v>
      </c>
      <c r="N26" s="58">
        <v>1.7829999999999999</v>
      </c>
      <c r="O26" s="58">
        <v>4.0833000000000004</v>
      </c>
      <c r="P26" s="72">
        <v>3.8330000000000002</v>
      </c>
      <c r="Q26" s="76">
        <v>64.667000000000002</v>
      </c>
      <c r="R26" s="72">
        <v>1.55</v>
      </c>
      <c r="S26" s="72">
        <v>1.917</v>
      </c>
      <c r="T26" s="72">
        <v>3.8</v>
      </c>
      <c r="U26" s="72">
        <v>4.3</v>
      </c>
      <c r="V26" s="72">
        <v>1.9830000000000001</v>
      </c>
      <c r="W26" s="72">
        <v>4.7670000000000003</v>
      </c>
      <c r="X26" s="72">
        <v>2</v>
      </c>
      <c r="Y26" s="72">
        <v>2.133</v>
      </c>
      <c r="Z26">
        <v>4.6879999999999997</v>
      </c>
      <c r="AA26">
        <v>5.45</v>
      </c>
      <c r="AB26">
        <v>2.8</v>
      </c>
      <c r="AC26">
        <v>1.234</v>
      </c>
      <c r="AD26">
        <v>2.1720000000000002</v>
      </c>
      <c r="AE26">
        <v>5.173</v>
      </c>
      <c r="AF26">
        <v>3.05</v>
      </c>
      <c r="AG26">
        <v>0.83299999999999996</v>
      </c>
      <c r="AH26">
        <v>4.7830000000000004</v>
      </c>
      <c r="AI26">
        <v>6.3</v>
      </c>
      <c r="AJ26">
        <v>3.9670000000000001</v>
      </c>
      <c r="AK26">
        <v>3.8330000000000002</v>
      </c>
      <c r="AL26">
        <v>4.95</v>
      </c>
      <c r="AM26">
        <v>2.0167000000000002</v>
      </c>
      <c r="AN26">
        <v>9.3829999999999991</v>
      </c>
      <c r="AO26">
        <v>5.3330000000000002</v>
      </c>
      <c r="AP26">
        <v>2.9830000000000001</v>
      </c>
      <c r="AQ26">
        <v>2.0167000000000002</v>
      </c>
      <c r="AR26">
        <v>2.6</v>
      </c>
      <c r="AT26">
        <v>3.7050000000000001</v>
      </c>
      <c r="AU26">
        <v>1.5669999999999999</v>
      </c>
      <c r="AV26">
        <v>3.4670000000000001</v>
      </c>
      <c r="AW26">
        <v>9.2129999999999992</v>
      </c>
      <c r="AX26">
        <v>2.9830000000000001</v>
      </c>
      <c r="AY26">
        <v>2.25</v>
      </c>
      <c r="BA26">
        <v>2.5</v>
      </c>
      <c r="BB26">
        <v>3.2330000000000001</v>
      </c>
      <c r="BC26">
        <v>3.2829999999999999</v>
      </c>
      <c r="BD26">
        <v>5.5830000000000002</v>
      </c>
      <c r="BE26">
        <v>50.633000000000003</v>
      </c>
      <c r="BF26">
        <v>3.367</v>
      </c>
      <c r="BG26">
        <v>3.55</v>
      </c>
      <c r="BH26">
        <v>3.9169999999999998</v>
      </c>
      <c r="BI26">
        <v>3.7170000000000001</v>
      </c>
      <c r="BJ26">
        <v>4.4850000000000003</v>
      </c>
      <c r="BK26">
        <v>2.6669999999999998</v>
      </c>
      <c r="BL26">
        <v>2.806</v>
      </c>
      <c r="BM26">
        <v>3.617</v>
      </c>
      <c r="BN26">
        <v>1.617</v>
      </c>
      <c r="BO26">
        <v>1.7170000000000001</v>
      </c>
      <c r="BP26">
        <v>2.0552000000000001</v>
      </c>
      <c r="BR26">
        <v>4.867</v>
      </c>
      <c r="BS26">
        <v>2.3170000000000002</v>
      </c>
      <c r="BT26">
        <v>8.6199999999999992</v>
      </c>
      <c r="BU26">
        <v>2.5169999999999999</v>
      </c>
      <c r="BV26">
        <v>2.0333000000000001</v>
      </c>
      <c r="BW26">
        <v>2.0034999999999998</v>
      </c>
      <c r="BX26">
        <v>1.833</v>
      </c>
      <c r="BY26">
        <v>1.1000000000000001</v>
      </c>
      <c r="BZ26">
        <v>11.367000000000001</v>
      </c>
      <c r="CB26">
        <v>1.5</v>
      </c>
      <c r="CC26">
        <v>0.66700000000000004</v>
      </c>
      <c r="CD26">
        <v>2.35</v>
      </c>
      <c r="CE26">
        <v>0.68300000000000005</v>
      </c>
      <c r="CF26">
        <v>8.7170000000000005</v>
      </c>
      <c r="CG26">
        <v>2.85</v>
      </c>
      <c r="CH26">
        <v>1.8</v>
      </c>
      <c r="CI26">
        <v>0.68300000000000005</v>
      </c>
      <c r="CJ26">
        <v>3.6669999999999998</v>
      </c>
      <c r="CK26">
        <v>4.4329999999999998</v>
      </c>
      <c r="CL26">
        <v>4.7329999999999997</v>
      </c>
      <c r="CM26">
        <v>2.7</v>
      </c>
      <c r="CN26">
        <v>1.2</v>
      </c>
      <c r="CO26">
        <v>3.1669999999999998</v>
      </c>
      <c r="CP26">
        <v>2.391</v>
      </c>
      <c r="CQ26">
        <v>6.8170000000000002</v>
      </c>
    </row>
    <row r="27" spans="1:95" x14ac:dyDescent="0.25">
      <c r="A27" s="1" t="s">
        <v>44</v>
      </c>
      <c r="B27" s="11">
        <f>4+31/60</f>
        <v>4.5166666666666666</v>
      </c>
      <c r="C27" s="11">
        <v>2.9169999999999998</v>
      </c>
      <c r="D27" s="11">
        <f>D26+2+3/60</f>
        <v>8.4666666666666686</v>
      </c>
      <c r="E27" s="11">
        <v>1.65</v>
      </c>
      <c r="F27" s="11">
        <v>3.35</v>
      </c>
      <c r="G27" s="11">
        <f>3+33/60</f>
        <v>3.55</v>
      </c>
      <c r="H27" s="11"/>
      <c r="I27" s="11">
        <v>6.2</v>
      </c>
      <c r="J27" s="11">
        <v>1.9279999999999999</v>
      </c>
      <c r="K27" s="11">
        <v>8</v>
      </c>
      <c r="L27" s="59"/>
      <c r="M27" s="58">
        <v>7.0833000000000004</v>
      </c>
      <c r="N27" s="58">
        <v>2.0832999999999999</v>
      </c>
      <c r="O27" s="58">
        <v>4.367</v>
      </c>
      <c r="P27" s="77">
        <v>5</v>
      </c>
      <c r="Q27" s="72">
        <v>64.933000000000007</v>
      </c>
      <c r="R27" s="72">
        <v>2.0468000000000002</v>
      </c>
      <c r="S27" s="72">
        <v>2.5499999999999998</v>
      </c>
      <c r="T27" s="72">
        <v>4.5</v>
      </c>
      <c r="U27" s="72">
        <v>4.883</v>
      </c>
      <c r="V27" s="72">
        <v>2.2170000000000001</v>
      </c>
      <c r="W27" s="72">
        <v>5.367</v>
      </c>
      <c r="X27" s="72">
        <v>2.5830000000000002</v>
      </c>
      <c r="Y27" s="72">
        <v>2.9329999999999998</v>
      </c>
      <c r="Z27">
        <v>5.532</v>
      </c>
      <c r="AA27">
        <v>6.7830000000000004</v>
      </c>
      <c r="AB27">
        <v>3.4169999999999998</v>
      </c>
      <c r="AC27">
        <v>2.33</v>
      </c>
      <c r="AD27">
        <v>2.73</v>
      </c>
      <c r="AE27">
        <v>6</v>
      </c>
      <c r="AF27">
        <v>3.5</v>
      </c>
      <c r="AG27">
        <v>1.2669999999999999</v>
      </c>
      <c r="AH27">
        <v>6.0167000000000002</v>
      </c>
      <c r="AI27">
        <v>6.5330000000000004</v>
      </c>
      <c r="AJ27">
        <v>5.35</v>
      </c>
      <c r="AK27">
        <v>6.3330000000000002</v>
      </c>
      <c r="AL27">
        <v>5.7830000000000004</v>
      </c>
      <c r="AM27">
        <v>2.65</v>
      </c>
      <c r="AN27">
        <v>10.033300000000001</v>
      </c>
      <c r="AO27">
        <v>5.633</v>
      </c>
      <c r="AP27">
        <v>4.2830000000000004</v>
      </c>
      <c r="AQ27">
        <v>2.8330000000000002</v>
      </c>
      <c r="AR27">
        <v>2.9329999999999998</v>
      </c>
      <c r="AT27">
        <v>4.2869999999999999</v>
      </c>
      <c r="AU27">
        <v>2.0667</v>
      </c>
      <c r="AV27">
        <v>4.3170000000000002</v>
      </c>
      <c r="AW27">
        <v>9.64</v>
      </c>
      <c r="AX27">
        <v>3.5830000000000002</v>
      </c>
      <c r="AY27">
        <v>4.25</v>
      </c>
      <c r="BA27">
        <v>3</v>
      </c>
      <c r="BB27">
        <v>3.5670000000000002</v>
      </c>
      <c r="BC27">
        <v>3.7829999999999999</v>
      </c>
      <c r="BD27">
        <v>6.25</v>
      </c>
      <c r="BE27">
        <v>52.8</v>
      </c>
      <c r="BF27">
        <v>4.133</v>
      </c>
      <c r="BG27">
        <v>4.1500000000000004</v>
      </c>
      <c r="BH27">
        <v>7.0833000000000004</v>
      </c>
      <c r="BI27">
        <v>4.6669999999999998</v>
      </c>
      <c r="BJ27">
        <v>5.7050000000000001</v>
      </c>
      <c r="BK27">
        <v>3.25</v>
      </c>
      <c r="BL27">
        <v>3.6880000000000002</v>
      </c>
      <c r="BM27">
        <v>6.4</v>
      </c>
      <c r="BN27">
        <v>1.7669999999999999</v>
      </c>
      <c r="BO27">
        <v>2.242</v>
      </c>
      <c r="BP27">
        <v>2.2170000000000001</v>
      </c>
      <c r="BR27">
        <v>6.367</v>
      </c>
      <c r="BS27">
        <v>2.6829999999999998</v>
      </c>
      <c r="BT27">
        <v>8.98</v>
      </c>
      <c r="BU27">
        <v>3.35</v>
      </c>
      <c r="BV27">
        <v>2.7</v>
      </c>
      <c r="BW27">
        <v>2.1760000000000002</v>
      </c>
      <c r="BX27">
        <v>2.0167000000000002</v>
      </c>
      <c r="BY27">
        <v>2.0333000000000001</v>
      </c>
      <c r="BZ27">
        <v>11.683</v>
      </c>
      <c r="CB27">
        <v>2.2000000000000002</v>
      </c>
      <c r="CC27">
        <v>1.0832999999999999</v>
      </c>
      <c r="CD27">
        <v>2.8170000000000002</v>
      </c>
      <c r="CE27">
        <v>1.2170000000000001</v>
      </c>
      <c r="CF27">
        <v>9.8330000000000002</v>
      </c>
      <c r="CG27">
        <v>4.0833000000000004</v>
      </c>
      <c r="CH27">
        <v>2.0499999999999998</v>
      </c>
      <c r="CI27">
        <v>0.78300000000000003</v>
      </c>
      <c r="CJ27">
        <v>5.6</v>
      </c>
      <c r="CK27">
        <v>5.2830000000000004</v>
      </c>
      <c r="CL27">
        <v>5.5</v>
      </c>
      <c r="CM27">
        <v>3.3330000000000002</v>
      </c>
      <c r="CN27">
        <v>1.583</v>
      </c>
      <c r="CO27">
        <v>3.75</v>
      </c>
      <c r="CP27">
        <v>2.8039999999999998</v>
      </c>
      <c r="CQ27">
        <v>7.117</v>
      </c>
    </row>
    <row r="28" spans="1:95" x14ac:dyDescent="0.25">
      <c r="A28" s="1" t="s">
        <v>45</v>
      </c>
      <c r="B28" s="11">
        <f>5+56/60</f>
        <v>5.9333333333333336</v>
      </c>
      <c r="C28" s="11">
        <v>3.8</v>
      </c>
      <c r="D28" s="11">
        <f>D27+2+2/60</f>
        <v>10.500000000000002</v>
      </c>
      <c r="E28" s="11">
        <v>1.9330000000000001</v>
      </c>
      <c r="F28" s="11">
        <v>3.6669999999999998</v>
      </c>
      <c r="G28" s="11">
        <f>4+15/60</f>
        <v>4.25</v>
      </c>
      <c r="H28" s="11"/>
      <c r="I28" s="11">
        <v>6.7</v>
      </c>
      <c r="J28" s="11">
        <v>2.2869999999999999</v>
      </c>
      <c r="K28" s="11">
        <v>10</v>
      </c>
      <c r="L28" s="59"/>
      <c r="M28" s="58">
        <v>7.8330000000000002</v>
      </c>
      <c r="N28" s="58">
        <v>2.2170000000000001</v>
      </c>
      <c r="O28" s="58">
        <v>4.7</v>
      </c>
      <c r="P28" s="72">
        <v>5.867</v>
      </c>
      <c r="Q28" s="72">
        <v>65.3</v>
      </c>
      <c r="R28" s="72">
        <v>2.2519999999999998</v>
      </c>
      <c r="S28" s="72">
        <v>2.9830000000000001</v>
      </c>
      <c r="T28" s="72">
        <v>4.75</v>
      </c>
      <c r="U28" s="72">
        <v>6.65</v>
      </c>
      <c r="V28" s="72">
        <v>2.367</v>
      </c>
      <c r="W28" s="72">
        <v>6.0332999999999997</v>
      </c>
      <c r="X28" s="72">
        <v>2.7330000000000001</v>
      </c>
      <c r="Y28" s="72">
        <v>3.1669999999999998</v>
      </c>
      <c r="Z28">
        <v>5.7469999999999999</v>
      </c>
      <c r="AA28">
        <v>9.0832999999999995</v>
      </c>
      <c r="AB28">
        <v>3.9329999999999998</v>
      </c>
      <c r="AC28">
        <v>3.92</v>
      </c>
      <c r="AD28">
        <v>3.0537999999999998</v>
      </c>
      <c r="AE28">
        <v>6.5330000000000004</v>
      </c>
      <c r="AF28">
        <v>4.05</v>
      </c>
      <c r="AG28">
        <v>1.5</v>
      </c>
      <c r="AH28">
        <v>6.9329999999999998</v>
      </c>
      <c r="AI28">
        <v>6.8</v>
      </c>
      <c r="AJ28">
        <v>5.6</v>
      </c>
      <c r="AK28">
        <v>7.5</v>
      </c>
      <c r="AL28">
        <v>6.8170000000000002</v>
      </c>
      <c r="AM28">
        <v>2.9</v>
      </c>
      <c r="AN28">
        <v>10.9</v>
      </c>
      <c r="AO28">
        <v>6.9329999999999998</v>
      </c>
      <c r="AP28">
        <v>4.5999999999999996</v>
      </c>
      <c r="AQ28">
        <v>3.0333000000000001</v>
      </c>
      <c r="AR28">
        <v>3.4329999999999998</v>
      </c>
      <c r="AT28">
        <v>4.7569999999999997</v>
      </c>
      <c r="AU28">
        <v>2.2829999999999999</v>
      </c>
      <c r="AV28">
        <v>4.6829999999999998</v>
      </c>
      <c r="AW28">
        <v>9.8320000000000007</v>
      </c>
      <c r="AX28">
        <v>4.383</v>
      </c>
      <c r="AY28">
        <v>4.75</v>
      </c>
      <c r="BA28">
        <v>3.5</v>
      </c>
      <c r="BB28">
        <v>4</v>
      </c>
      <c r="BC28">
        <v>4.383</v>
      </c>
      <c r="BD28">
        <v>6.4829999999999997</v>
      </c>
      <c r="BE28">
        <v>53.216999999999999</v>
      </c>
      <c r="BF28">
        <v>4.633</v>
      </c>
      <c r="BG28">
        <v>4.55</v>
      </c>
      <c r="BH28">
        <v>7.9169999999999998</v>
      </c>
      <c r="BI28">
        <v>4.9169999999999998</v>
      </c>
      <c r="BJ28">
        <v>6.1740000000000004</v>
      </c>
      <c r="BK28">
        <v>3.7829999999999999</v>
      </c>
      <c r="BL28">
        <v>4.4690000000000003</v>
      </c>
      <c r="BM28">
        <v>6.9829999999999997</v>
      </c>
      <c r="BN28">
        <v>1.833</v>
      </c>
      <c r="BO28">
        <v>2.4329999999999998</v>
      </c>
      <c r="BP28">
        <v>3.3220000000000001</v>
      </c>
      <c r="BR28">
        <v>7.367</v>
      </c>
      <c r="BS28">
        <v>3</v>
      </c>
      <c r="BT28">
        <v>9.6890000000000001</v>
      </c>
      <c r="BU28">
        <v>3.5830000000000002</v>
      </c>
      <c r="BV28">
        <v>3.117</v>
      </c>
      <c r="BW28">
        <v>2.3660000000000001</v>
      </c>
      <c r="BX28">
        <v>2.15</v>
      </c>
      <c r="BY28">
        <v>2.2000000000000002</v>
      </c>
      <c r="BZ28">
        <v>12.1</v>
      </c>
      <c r="CB28">
        <v>3.0832999999999999</v>
      </c>
      <c r="CC28">
        <v>1.8</v>
      </c>
      <c r="CD28">
        <v>3.25</v>
      </c>
      <c r="CE28">
        <v>1.55</v>
      </c>
      <c r="CF28">
        <v>10.117000000000001</v>
      </c>
      <c r="CG28">
        <v>4.2670000000000003</v>
      </c>
      <c r="CH28">
        <v>2.1829999999999998</v>
      </c>
      <c r="CI28">
        <v>1.2170000000000001</v>
      </c>
      <c r="CJ28">
        <v>7.9829999999999997</v>
      </c>
      <c r="CK28">
        <v>5.5</v>
      </c>
      <c r="CL28">
        <v>5.8330000000000002</v>
      </c>
      <c r="CM28" s="9">
        <v>4</v>
      </c>
      <c r="CN28">
        <v>1.7170000000000001</v>
      </c>
      <c r="CO28" s="9">
        <v>4</v>
      </c>
      <c r="CP28">
        <v>2.9220000000000002</v>
      </c>
      <c r="CQ28" s="9">
        <v>7.3170000000000002</v>
      </c>
    </row>
    <row r="29" spans="1:95" x14ac:dyDescent="0.25">
      <c r="A29" s="1" t="s">
        <v>46</v>
      </c>
      <c r="B29" s="11">
        <f>7+12/60</f>
        <v>7.2</v>
      </c>
      <c r="C29" s="11">
        <v>4.4669999999999996</v>
      </c>
      <c r="D29" s="11">
        <f>D28+30/60</f>
        <v>11.000000000000002</v>
      </c>
      <c r="E29" s="11">
        <v>2.1829999999999998</v>
      </c>
      <c r="F29" s="11">
        <v>4.0830000000000002</v>
      </c>
      <c r="G29" s="11">
        <f>4+23/60</f>
        <v>4.3833333333333337</v>
      </c>
      <c r="H29" s="11"/>
      <c r="I29" s="11">
        <v>7.9829999999999997</v>
      </c>
      <c r="J29" s="11">
        <v>3.1160000000000001</v>
      </c>
      <c r="K29" s="11">
        <v>12</v>
      </c>
      <c r="L29" s="59"/>
      <c r="M29" s="58">
        <v>8.1669999999999998</v>
      </c>
      <c r="N29" s="58">
        <v>2.6669999999999998</v>
      </c>
      <c r="O29" s="58">
        <v>5.1669999999999998</v>
      </c>
      <c r="P29" s="72">
        <v>7.0332999999999997</v>
      </c>
      <c r="Q29" s="72">
        <v>66.533000000000001</v>
      </c>
      <c r="R29" s="72">
        <v>2.8740000000000001</v>
      </c>
      <c r="S29" s="72">
        <v>3.8330000000000002</v>
      </c>
      <c r="T29" s="72">
        <v>6.05</v>
      </c>
      <c r="U29" s="72">
        <v>10.567</v>
      </c>
      <c r="V29" s="72">
        <v>3.117</v>
      </c>
      <c r="W29" s="72">
        <v>6.55</v>
      </c>
      <c r="X29" s="72">
        <v>4.0167000000000002</v>
      </c>
      <c r="Y29" s="72">
        <v>3.9</v>
      </c>
      <c r="Z29">
        <v>5.9930000000000003</v>
      </c>
      <c r="AA29">
        <v>9.3330000000000002</v>
      </c>
      <c r="AB29">
        <v>5.1669999999999998</v>
      </c>
      <c r="AC29">
        <v>4.2009999999999996</v>
      </c>
      <c r="AD29">
        <v>3.258</v>
      </c>
      <c r="AE29" t="s">
        <v>62</v>
      </c>
      <c r="AF29">
        <v>4.5670000000000002</v>
      </c>
      <c r="AG29">
        <v>2.367</v>
      </c>
      <c r="AH29">
        <v>7.9329999999999998</v>
      </c>
      <c r="AI29">
        <v>8.9670000000000005</v>
      </c>
      <c r="AJ29">
        <v>7.85</v>
      </c>
      <c r="AK29">
        <v>8</v>
      </c>
      <c r="AL29">
        <v>7.5170000000000003</v>
      </c>
      <c r="AM29">
        <v>2.9329999999999998</v>
      </c>
      <c r="AN29">
        <v>12.833</v>
      </c>
      <c r="AO29">
        <v>8.2669999999999995</v>
      </c>
      <c r="AP29">
        <v>5.85</v>
      </c>
      <c r="AQ29">
        <v>3.5</v>
      </c>
      <c r="AR29">
        <v>4.55</v>
      </c>
      <c r="AT29">
        <v>5.4139999999999997</v>
      </c>
      <c r="AU29">
        <v>2.4500000000000002</v>
      </c>
      <c r="AV29">
        <v>5.4329999999999998</v>
      </c>
      <c r="AW29">
        <v>10.337999999999999</v>
      </c>
      <c r="AX29">
        <v>4.55</v>
      </c>
      <c r="AY29">
        <v>6</v>
      </c>
      <c r="BA29">
        <v>4</v>
      </c>
      <c r="BB29">
        <v>4.2699999999999996</v>
      </c>
      <c r="BC29">
        <v>4.6669999999999998</v>
      </c>
      <c r="BD29">
        <v>7.05</v>
      </c>
      <c r="BE29">
        <v>54.533000000000001</v>
      </c>
      <c r="BF29">
        <v>4.8499999999999996</v>
      </c>
      <c r="BG29">
        <v>4.7</v>
      </c>
      <c r="BH29">
        <v>8.2170000000000005</v>
      </c>
      <c r="BI29">
        <v>5.2169999999999996</v>
      </c>
      <c r="BJ29">
        <v>6.4859999999999998</v>
      </c>
      <c r="BK29">
        <v>4.6500000000000004</v>
      </c>
      <c r="BL29">
        <v>5.5679999999999996</v>
      </c>
      <c r="BM29">
        <v>8.0333000000000006</v>
      </c>
      <c r="BN29" t="s">
        <v>62</v>
      </c>
      <c r="BO29">
        <v>3.1429999999999998</v>
      </c>
      <c r="BP29">
        <v>3.782</v>
      </c>
      <c r="BR29">
        <v>8.6170000000000009</v>
      </c>
      <c r="BS29">
        <v>3.5</v>
      </c>
      <c r="BT29">
        <v>11.308</v>
      </c>
      <c r="BU29">
        <v>4.75</v>
      </c>
      <c r="BV29">
        <v>3.5830000000000002</v>
      </c>
      <c r="BW29">
        <v>2.4409999999999998</v>
      </c>
      <c r="BX29">
        <v>3.367</v>
      </c>
      <c r="BY29">
        <v>2.5169999999999999</v>
      </c>
      <c r="BZ29">
        <v>12.35</v>
      </c>
      <c r="CB29">
        <v>3.367</v>
      </c>
      <c r="CC29">
        <v>1.9670000000000001</v>
      </c>
      <c r="CD29">
        <v>3.6669999999999998</v>
      </c>
      <c r="CE29">
        <v>1.7669999999999999</v>
      </c>
      <c r="CF29">
        <v>11.617000000000001</v>
      </c>
      <c r="CG29">
        <v>4.8</v>
      </c>
      <c r="CH29">
        <v>2.2000000000000002</v>
      </c>
      <c r="CI29">
        <v>1.583</v>
      </c>
      <c r="CJ29">
        <v>8.7330000000000005</v>
      </c>
      <c r="CK29">
        <v>6.1</v>
      </c>
      <c r="CL29">
        <v>15.782999999999999</v>
      </c>
      <c r="CM29" s="9">
        <v>5.25</v>
      </c>
      <c r="CN29">
        <v>2.2330000000000001</v>
      </c>
      <c r="CO29">
        <v>4.0833000000000004</v>
      </c>
      <c r="CP29">
        <v>3.2229999999999999</v>
      </c>
      <c r="CQ29">
        <v>8.9</v>
      </c>
    </row>
    <row r="30" spans="1:95" x14ac:dyDescent="0.25">
      <c r="A30" s="1" t="s">
        <v>47</v>
      </c>
      <c r="B30" s="11">
        <f>9+47/60</f>
        <v>9.7833333333333332</v>
      </c>
      <c r="C30" s="11">
        <v>5</v>
      </c>
      <c r="D30" s="11">
        <f>D29+1+1/60</f>
        <v>12.016666666666669</v>
      </c>
      <c r="E30" s="11">
        <v>2.7829999999999999</v>
      </c>
      <c r="F30" s="11">
        <v>4.4669999999999996</v>
      </c>
      <c r="G30" s="11">
        <f>5+19/60</f>
        <v>5.3166666666666664</v>
      </c>
      <c r="H30" s="11">
        <f>2+1/60</f>
        <v>2.0166666666666666</v>
      </c>
      <c r="I30" s="11">
        <v>8.1170000000000009</v>
      </c>
      <c r="J30" s="11">
        <v>4.0118</v>
      </c>
      <c r="K30" s="11">
        <f>12+30/60</f>
        <v>12.5</v>
      </c>
      <c r="L30" s="59"/>
      <c r="M30" s="58">
        <v>8.3829999999999991</v>
      </c>
      <c r="N30" s="58">
        <v>2.7170000000000001</v>
      </c>
      <c r="O30" s="58">
        <v>5.5670000000000002</v>
      </c>
      <c r="P30" s="72">
        <v>7.5</v>
      </c>
      <c r="Q30" s="72">
        <v>66.816999999999993</v>
      </c>
      <c r="R30" s="72">
        <v>3.3149999999999999</v>
      </c>
      <c r="S30" s="72">
        <v>5.3170000000000002</v>
      </c>
      <c r="T30" s="72">
        <v>6.8</v>
      </c>
      <c r="U30" s="72">
        <v>12.683</v>
      </c>
      <c r="V30" s="72">
        <v>3.3330000000000002</v>
      </c>
      <c r="W30" s="72">
        <v>6.633</v>
      </c>
      <c r="X30" s="72">
        <v>4.9669999999999996</v>
      </c>
      <c r="Y30" s="72">
        <v>4.2329999999999997</v>
      </c>
      <c r="Z30">
        <v>6.1929999999999996</v>
      </c>
      <c r="AA30">
        <v>9.35</v>
      </c>
      <c r="AB30">
        <v>6</v>
      </c>
      <c r="AC30">
        <v>4.3609999999999998</v>
      </c>
      <c r="AD30">
        <v>3.774</v>
      </c>
      <c r="AE30">
        <v>7.3010000000000002</v>
      </c>
      <c r="AF30">
        <v>4.9329999999999998</v>
      </c>
      <c r="AG30">
        <v>2.6</v>
      </c>
      <c r="AH30">
        <v>8.7669999999999995</v>
      </c>
      <c r="AI30">
        <v>9.25</v>
      </c>
      <c r="AJ30">
        <v>7.9669999999999996</v>
      </c>
      <c r="AK30">
        <v>8.3330000000000002</v>
      </c>
      <c r="AL30">
        <v>8.9670000000000005</v>
      </c>
      <c r="AM30">
        <v>3.2829999999999999</v>
      </c>
      <c r="AN30">
        <v>13.417</v>
      </c>
      <c r="AO30">
        <v>8.6669999999999998</v>
      </c>
      <c r="AP30">
        <v>6.2329999999999997</v>
      </c>
      <c r="AQ30">
        <v>3.7829999999999999</v>
      </c>
      <c r="AR30">
        <v>4.8499999999999996</v>
      </c>
      <c r="AS30">
        <v>1.1830000000000001</v>
      </c>
      <c r="AT30">
        <v>5.6029999999999998</v>
      </c>
      <c r="AU30">
        <v>2.5169999999999999</v>
      </c>
      <c r="AV30">
        <v>5.6829999999999998</v>
      </c>
      <c r="AW30">
        <v>16.388000000000002</v>
      </c>
      <c r="AX30">
        <v>4.7169999999999996</v>
      </c>
      <c r="AY30">
        <v>6.25</v>
      </c>
      <c r="BA30">
        <v>4.5</v>
      </c>
      <c r="BB30">
        <v>4.7169999999999996</v>
      </c>
      <c r="BC30">
        <v>4.8</v>
      </c>
      <c r="BD30">
        <v>7.25</v>
      </c>
      <c r="BE30">
        <v>56.883000000000003</v>
      </c>
      <c r="BF30">
        <v>5.0167000000000002</v>
      </c>
      <c r="BG30">
        <v>5.2329999999999997</v>
      </c>
      <c r="BH30">
        <v>8.8170000000000002</v>
      </c>
      <c r="BI30">
        <v>5.7329999999999997</v>
      </c>
      <c r="BJ30">
        <v>6.6849999999999996</v>
      </c>
      <c r="BK30">
        <v>5.0332999999999997</v>
      </c>
      <c r="BL30">
        <v>6.0667</v>
      </c>
      <c r="BM30">
        <v>8.25</v>
      </c>
      <c r="BN30">
        <v>1.9830000000000001</v>
      </c>
      <c r="BO30">
        <v>3.637</v>
      </c>
      <c r="BP30">
        <v>4.0442</v>
      </c>
      <c r="BR30">
        <v>10.717000000000001</v>
      </c>
      <c r="BS30">
        <v>3.95</v>
      </c>
      <c r="BT30">
        <v>13.257</v>
      </c>
      <c r="BU30">
        <v>4.8330000000000002</v>
      </c>
      <c r="BV30">
        <v>3.85</v>
      </c>
      <c r="BW30">
        <v>2.5259999999999998</v>
      </c>
      <c r="BX30">
        <v>3.4830000000000001</v>
      </c>
      <c r="BY30">
        <v>2.8</v>
      </c>
      <c r="BZ30">
        <v>12.4</v>
      </c>
      <c r="CB30">
        <v>3.6160000000000001</v>
      </c>
      <c r="CC30">
        <v>2.1669999999999998</v>
      </c>
      <c r="CD30">
        <v>3.9329999999999998</v>
      </c>
      <c r="CE30">
        <v>1.867</v>
      </c>
      <c r="CF30">
        <v>12.2</v>
      </c>
      <c r="CG30">
        <v>6.15</v>
      </c>
      <c r="CH30">
        <v>2.617</v>
      </c>
      <c r="CI30">
        <v>2.367</v>
      </c>
      <c r="CJ30">
        <v>9.2669999999999995</v>
      </c>
      <c r="CK30">
        <v>7.25</v>
      </c>
      <c r="CL30">
        <v>18.783000000000001</v>
      </c>
      <c r="CM30">
        <v>5.5</v>
      </c>
      <c r="CN30">
        <v>2.4329999999999998</v>
      </c>
      <c r="CO30">
        <v>4.1669999999999998</v>
      </c>
      <c r="CP30">
        <v>3.673</v>
      </c>
      <c r="CQ30">
        <v>10.917</v>
      </c>
    </row>
    <row r="31" spans="1:95" x14ac:dyDescent="0.25">
      <c r="A31" s="1" t="s">
        <v>48</v>
      </c>
      <c r="B31" s="11">
        <f>12+16/60</f>
        <v>12.266666666666667</v>
      </c>
      <c r="C31" s="11">
        <v>6.5</v>
      </c>
      <c r="D31" s="11">
        <f>D30+20/60</f>
        <v>12.350000000000003</v>
      </c>
      <c r="E31" s="11">
        <v>4.7329999999999997</v>
      </c>
      <c r="F31" s="11">
        <v>8.6829999999999998</v>
      </c>
      <c r="G31" s="11">
        <f>6+25/60</f>
        <v>6.416666666666667</v>
      </c>
      <c r="H31" s="11">
        <f>4+21/60</f>
        <v>4.3499999999999996</v>
      </c>
      <c r="I31" s="11">
        <v>14.85</v>
      </c>
      <c r="J31" s="11">
        <v>7.7320000000000002</v>
      </c>
      <c r="K31" s="11">
        <f>12+50/60</f>
        <v>12.833333333333334</v>
      </c>
      <c r="L31" s="58">
        <v>1.417</v>
      </c>
      <c r="M31" s="58">
        <v>10.967000000000001</v>
      </c>
      <c r="N31" s="58">
        <v>3.5169999999999999</v>
      </c>
      <c r="O31" s="58">
        <v>17.716999999999999</v>
      </c>
      <c r="P31" s="72">
        <v>9.75</v>
      </c>
      <c r="Q31" s="72">
        <v>75.617000000000004</v>
      </c>
      <c r="R31" s="72">
        <v>7.0244999999999997</v>
      </c>
      <c r="S31" s="72">
        <v>5.7670000000000003</v>
      </c>
      <c r="T31" s="72">
        <v>11.2</v>
      </c>
      <c r="U31" s="72">
        <v>14.25</v>
      </c>
      <c r="V31" s="72">
        <v>6.5830000000000002</v>
      </c>
      <c r="W31" s="72">
        <v>8.6829999999999998</v>
      </c>
      <c r="X31" s="72">
        <v>6.45</v>
      </c>
      <c r="Y31" s="72">
        <v>4.75</v>
      </c>
      <c r="Z31">
        <v>9.798</v>
      </c>
      <c r="AA31">
        <v>11.516999999999999</v>
      </c>
      <c r="AB31">
        <v>7.7</v>
      </c>
      <c r="AC31">
        <v>7.391</v>
      </c>
      <c r="AD31">
        <v>4.2619999999999996</v>
      </c>
      <c r="AE31">
        <v>8.3949999999999996</v>
      </c>
      <c r="AF31">
        <v>6.5670000000000002</v>
      </c>
      <c r="AG31">
        <v>4.0332999999999997</v>
      </c>
      <c r="AH31">
        <v>11.132999999999999</v>
      </c>
      <c r="AI31">
        <v>9.6669999999999998</v>
      </c>
      <c r="AJ31">
        <v>9.9830000000000005</v>
      </c>
      <c r="AK31">
        <v>13.75</v>
      </c>
      <c r="AL31">
        <v>12.467000000000001</v>
      </c>
      <c r="AM31">
        <v>4.367</v>
      </c>
      <c r="AN31">
        <v>13.972</v>
      </c>
      <c r="AO31">
        <v>15.15</v>
      </c>
      <c r="AP31">
        <v>13.282999999999999</v>
      </c>
      <c r="AQ31">
        <v>6.75</v>
      </c>
      <c r="AR31">
        <v>5.5170000000000003</v>
      </c>
      <c r="AS31">
        <v>5.3170000000000002</v>
      </c>
      <c r="AT31">
        <v>8.2620000000000005</v>
      </c>
      <c r="AU31">
        <v>4.2</v>
      </c>
      <c r="AV31">
        <v>7.133</v>
      </c>
      <c r="AW31">
        <v>18.190999999999999</v>
      </c>
      <c r="AX31">
        <v>8.7170000000000005</v>
      </c>
      <c r="AY31">
        <v>9.3330000000000002</v>
      </c>
      <c r="BA31">
        <v>5</v>
      </c>
      <c r="BB31">
        <v>5.6829999999999998</v>
      </c>
      <c r="BC31">
        <v>6.9329999999999998</v>
      </c>
      <c r="BD31">
        <v>8.5</v>
      </c>
      <c r="BE31">
        <v>59.167000000000002</v>
      </c>
      <c r="BF31">
        <v>6.05</v>
      </c>
      <c r="BG31">
        <v>6.0332999999999997</v>
      </c>
      <c r="BH31">
        <v>12.083299999999999</v>
      </c>
      <c r="BI31">
        <v>7.1829999999999998</v>
      </c>
      <c r="BJ31">
        <v>7.9729999999999999</v>
      </c>
      <c r="BK31">
        <v>7.0667</v>
      </c>
      <c r="BL31">
        <v>6.9020000000000001</v>
      </c>
      <c r="BM31">
        <v>10.766999999999999</v>
      </c>
      <c r="BN31">
        <v>3</v>
      </c>
      <c r="BO31">
        <v>5.4859999999999998</v>
      </c>
      <c r="BP31">
        <v>4.907</v>
      </c>
      <c r="BQ31">
        <v>0.25</v>
      </c>
      <c r="BR31">
        <v>12.717000000000001</v>
      </c>
      <c r="BS31">
        <v>5.25</v>
      </c>
      <c r="BT31">
        <v>19.501999999999999</v>
      </c>
      <c r="BU31">
        <v>6.5330000000000004</v>
      </c>
      <c r="BV31">
        <v>5.5</v>
      </c>
      <c r="BW31">
        <v>3.3967000000000001</v>
      </c>
      <c r="BX31">
        <v>4.55</v>
      </c>
      <c r="BY31">
        <v>4.5999999999999996</v>
      </c>
      <c r="BZ31">
        <v>14.55</v>
      </c>
      <c r="CB31">
        <v>5.7830000000000004</v>
      </c>
      <c r="CC31">
        <v>4.45</v>
      </c>
      <c r="CD31">
        <v>5.117</v>
      </c>
      <c r="CE31">
        <v>4.6669999999999998</v>
      </c>
      <c r="CF31">
        <v>13.95</v>
      </c>
      <c r="CG31">
        <v>7.9329999999999998</v>
      </c>
      <c r="CH31">
        <v>3.6</v>
      </c>
      <c r="CI31">
        <v>2.65</v>
      </c>
      <c r="CJ31">
        <v>10.933</v>
      </c>
      <c r="CK31">
        <v>9.85</v>
      </c>
      <c r="CL31">
        <v>24.45</v>
      </c>
      <c r="CM31">
        <v>6.25</v>
      </c>
      <c r="CN31">
        <v>4.2830000000000004</v>
      </c>
      <c r="CO31">
        <v>5.1669999999999998</v>
      </c>
      <c r="CP31">
        <v>4.63</v>
      </c>
      <c r="CQ31">
        <v>11.132999999999999</v>
      </c>
    </row>
    <row r="32" spans="1:95" x14ac:dyDescent="0.25">
      <c r="A32" s="1" t="s">
        <v>49</v>
      </c>
      <c r="B32" s="11">
        <f>12+30/60</f>
        <v>12.5</v>
      </c>
      <c r="C32" s="11">
        <v>7.0830000000000002</v>
      </c>
      <c r="D32" s="11">
        <f>D31+12/60</f>
        <v>12.550000000000002</v>
      </c>
      <c r="E32" s="11">
        <v>4.8330000000000002</v>
      </c>
      <c r="F32" s="11">
        <v>9.0169999999999995</v>
      </c>
      <c r="G32" s="11">
        <f>6+41/60</f>
        <v>6.6833333333333336</v>
      </c>
      <c r="H32" s="11">
        <f>4+23/60</f>
        <v>4.3833333333333337</v>
      </c>
      <c r="I32" s="11">
        <v>15.45</v>
      </c>
      <c r="J32" s="11">
        <v>9.0120000000000005</v>
      </c>
      <c r="K32" s="11">
        <v>13</v>
      </c>
      <c r="L32" s="58">
        <v>1.75</v>
      </c>
      <c r="M32" s="58">
        <v>11.167</v>
      </c>
      <c r="N32" s="58">
        <v>3.9830000000000001</v>
      </c>
      <c r="O32" s="58">
        <v>17.899999999999999</v>
      </c>
      <c r="P32" s="72">
        <v>9.9169999999999998</v>
      </c>
      <c r="Q32" s="72">
        <v>77.683000000000007</v>
      </c>
      <c r="R32" s="72">
        <v>7.0949999999999998</v>
      </c>
      <c r="S32" s="72">
        <v>6.633</v>
      </c>
      <c r="T32" s="72">
        <v>11.483000000000001</v>
      </c>
      <c r="U32" s="72">
        <v>16.617000000000001</v>
      </c>
      <c r="V32" s="72">
        <v>6.6669999999999998</v>
      </c>
      <c r="W32" s="76" t="s">
        <v>62</v>
      </c>
      <c r="X32" s="72">
        <v>6.5</v>
      </c>
      <c r="Y32" s="72">
        <v>5</v>
      </c>
      <c r="Z32">
        <v>0.55800000000000005</v>
      </c>
      <c r="AA32">
        <v>11.516999999999999</v>
      </c>
      <c r="AB32">
        <v>8.5830000000000002</v>
      </c>
      <c r="AC32">
        <v>7.5</v>
      </c>
      <c r="AD32">
        <v>4.2619999999999996</v>
      </c>
      <c r="AE32" t="s">
        <v>62</v>
      </c>
      <c r="AF32">
        <v>6.8330000000000002</v>
      </c>
      <c r="AG32">
        <v>4.2830000000000004</v>
      </c>
      <c r="AH32">
        <v>11.632999999999999</v>
      </c>
      <c r="AI32">
        <v>15.917</v>
      </c>
      <c r="AJ32">
        <v>10.183</v>
      </c>
      <c r="AK32">
        <v>15</v>
      </c>
      <c r="AL32">
        <v>14.3</v>
      </c>
      <c r="AM32">
        <v>4.7670000000000003</v>
      </c>
      <c r="AN32">
        <v>14</v>
      </c>
      <c r="AO32">
        <v>16.0167</v>
      </c>
      <c r="AP32">
        <v>13.382999999999999</v>
      </c>
      <c r="AQ32">
        <v>7.383</v>
      </c>
      <c r="AR32">
        <v>5.7</v>
      </c>
      <c r="AS32">
        <v>6.117</v>
      </c>
      <c r="AT32">
        <v>10.236000000000001</v>
      </c>
      <c r="AU32">
        <v>4.4000000000000004</v>
      </c>
      <c r="AV32">
        <v>7.25</v>
      </c>
      <c r="AW32">
        <v>24.541</v>
      </c>
      <c r="AX32">
        <v>8.7330000000000005</v>
      </c>
      <c r="AY32">
        <v>12.917</v>
      </c>
      <c r="BA32">
        <v>5.5</v>
      </c>
      <c r="BB32">
        <v>5.7670000000000003</v>
      </c>
      <c r="BC32">
        <v>7.2670000000000003</v>
      </c>
      <c r="BD32">
        <v>8.5830000000000002</v>
      </c>
      <c r="BE32">
        <v>59.332999999999998</v>
      </c>
      <c r="BF32">
        <v>6.2169999999999996</v>
      </c>
      <c r="BG32">
        <v>6.0833000000000004</v>
      </c>
      <c r="BH32">
        <v>14.833</v>
      </c>
      <c r="BI32">
        <v>7.7</v>
      </c>
      <c r="BJ32">
        <v>9.8680000000000003</v>
      </c>
      <c r="BK32">
        <v>7.3</v>
      </c>
      <c r="BL32">
        <v>7.3860000000000001</v>
      </c>
      <c r="BM32">
        <v>10.917</v>
      </c>
      <c r="BN32">
        <v>3.117</v>
      </c>
      <c r="BO32">
        <v>5.6349999999999998</v>
      </c>
      <c r="BP32">
        <v>4.9180000000000001</v>
      </c>
      <c r="BR32">
        <v>13.217000000000001</v>
      </c>
      <c r="BS32">
        <v>5.6829999999999998</v>
      </c>
      <c r="BT32">
        <v>20.302</v>
      </c>
      <c r="BU32">
        <v>6.7169999999999996</v>
      </c>
      <c r="BV32">
        <v>5.5670000000000002</v>
      </c>
      <c r="BW32">
        <v>3.3969999999999998</v>
      </c>
      <c r="BX32">
        <v>4.5999999999999996</v>
      </c>
      <c r="BY32">
        <v>5.95</v>
      </c>
      <c r="BZ32">
        <v>14.667</v>
      </c>
      <c r="CA32">
        <v>0.05</v>
      </c>
      <c r="CB32">
        <v>6.0167000000000002</v>
      </c>
      <c r="CC32">
        <v>4.4829999999999997</v>
      </c>
      <c r="CD32">
        <v>5.95</v>
      </c>
      <c r="CE32">
        <v>5.617</v>
      </c>
      <c r="CF32">
        <v>13.95</v>
      </c>
      <c r="CG32">
        <v>7.9829999999999997</v>
      </c>
      <c r="CH32">
        <v>4.25</v>
      </c>
      <c r="CI32">
        <v>2.95</v>
      </c>
      <c r="CJ32">
        <v>10.983000000000001</v>
      </c>
      <c r="CK32">
        <v>10.532999999999999</v>
      </c>
      <c r="CL32">
        <v>30.417000000000002</v>
      </c>
      <c r="CM32" s="9">
        <v>7</v>
      </c>
      <c r="CN32">
        <v>4.383</v>
      </c>
      <c r="CP32">
        <v>4.7380000000000004</v>
      </c>
      <c r="CQ32">
        <v>11.3</v>
      </c>
    </row>
    <row r="33" spans="1:95" x14ac:dyDescent="0.25">
      <c r="A33" s="1" t="s">
        <v>50</v>
      </c>
      <c r="B33" s="11">
        <f>19+33/60</f>
        <v>19.55</v>
      </c>
      <c r="C33" s="11">
        <v>11.733000000000001</v>
      </c>
      <c r="D33" s="11">
        <f>D32+7+4/60</f>
        <v>19.616666666666671</v>
      </c>
      <c r="E33" s="11">
        <v>16.082999999999998</v>
      </c>
      <c r="F33" s="11">
        <v>15.35</v>
      </c>
      <c r="G33" s="11">
        <f>17+54/60</f>
        <v>17.899999999999999</v>
      </c>
      <c r="H33" s="11">
        <f>10+34/60</f>
        <v>10.566666666666666</v>
      </c>
      <c r="I33" s="11">
        <v>25.817</v>
      </c>
      <c r="J33" s="11">
        <v>16.588999999999999</v>
      </c>
      <c r="K33" s="11">
        <f>30+40/60</f>
        <v>30.666666666666668</v>
      </c>
      <c r="L33" s="58">
        <v>7.9829999999999997</v>
      </c>
      <c r="M33" s="58">
        <v>23.332999999999998</v>
      </c>
      <c r="N33" s="58">
        <v>8.5</v>
      </c>
      <c r="O33" s="58">
        <v>22.466999999999999</v>
      </c>
      <c r="P33" s="72">
        <v>16.083300000000001</v>
      </c>
      <c r="Q33" s="72">
        <v>87.533000000000001</v>
      </c>
      <c r="R33" s="76">
        <v>11.87</v>
      </c>
      <c r="S33" s="72">
        <v>18.817</v>
      </c>
      <c r="T33" s="72">
        <v>19.516999999999999</v>
      </c>
      <c r="U33" s="72">
        <v>25.5</v>
      </c>
      <c r="V33" s="72">
        <v>13.717000000000001</v>
      </c>
      <c r="W33" s="72">
        <v>18.55</v>
      </c>
      <c r="X33" s="72">
        <v>15.05</v>
      </c>
      <c r="Y33" s="72">
        <v>12.5</v>
      </c>
      <c r="Z33" t="s">
        <v>213</v>
      </c>
      <c r="AA33">
        <v>28.083300000000001</v>
      </c>
      <c r="AB33">
        <v>13.817</v>
      </c>
      <c r="AC33">
        <v>10.443</v>
      </c>
      <c r="AD33">
        <v>10.657</v>
      </c>
      <c r="AE33">
        <v>16.978000000000002</v>
      </c>
      <c r="AF33">
        <v>13.333</v>
      </c>
      <c r="AG33">
        <v>18.783000000000001</v>
      </c>
      <c r="AH33">
        <v>18.083300000000001</v>
      </c>
      <c r="AI33">
        <v>18.917000000000002</v>
      </c>
      <c r="AJ33">
        <v>18.632999999999999</v>
      </c>
      <c r="AK33">
        <v>22.832999999999998</v>
      </c>
      <c r="AL33">
        <v>24.382999999999999</v>
      </c>
      <c r="AM33">
        <v>10.217000000000001</v>
      </c>
      <c r="AN33">
        <v>21.75</v>
      </c>
      <c r="AO33">
        <v>25.25</v>
      </c>
      <c r="AP33">
        <v>24.317</v>
      </c>
      <c r="AQ33">
        <v>19.917000000000002</v>
      </c>
      <c r="AR33">
        <v>8.3670000000000009</v>
      </c>
      <c r="AS33">
        <v>9.0832999999999995</v>
      </c>
      <c r="AT33">
        <v>19.198</v>
      </c>
      <c r="AU33">
        <v>10.782999999999999</v>
      </c>
      <c r="AV33">
        <v>15.917</v>
      </c>
      <c r="AX33">
        <v>22.317</v>
      </c>
      <c r="AY33">
        <v>17.917000000000002</v>
      </c>
      <c r="BA33">
        <v>8.5</v>
      </c>
      <c r="BB33">
        <v>13.233000000000001</v>
      </c>
      <c r="BC33">
        <v>15.066700000000001</v>
      </c>
      <c r="BD33">
        <v>10.5</v>
      </c>
      <c r="BE33">
        <v>74.566999999999993</v>
      </c>
      <c r="BF33">
        <v>15.0167</v>
      </c>
      <c r="BG33">
        <v>15.45</v>
      </c>
      <c r="BH33">
        <v>24.283000000000001</v>
      </c>
      <c r="BI33">
        <v>13.2</v>
      </c>
      <c r="BJ33">
        <v>15.023</v>
      </c>
      <c r="BK33">
        <v>14.167</v>
      </c>
      <c r="BL33">
        <v>9.8030000000000008</v>
      </c>
      <c r="BM33">
        <v>22.617000000000001</v>
      </c>
      <c r="BN33">
        <v>10.266999999999999</v>
      </c>
      <c r="BO33">
        <v>8.7959999999999994</v>
      </c>
      <c r="BP33">
        <v>17.367999999999999</v>
      </c>
      <c r="BQ33">
        <v>3.5169999999999999</v>
      </c>
      <c r="BR33">
        <v>33.216999999999999</v>
      </c>
      <c r="BS33">
        <v>21.55</v>
      </c>
      <c r="BT33">
        <v>24.969000000000001</v>
      </c>
      <c r="BU33">
        <v>12.833</v>
      </c>
      <c r="BV33">
        <v>11.95</v>
      </c>
      <c r="BX33">
        <v>10.8</v>
      </c>
      <c r="BY33">
        <v>13.282999999999999</v>
      </c>
      <c r="BZ33">
        <v>20.117000000000001</v>
      </c>
      <c r="CA33">
        <v>9.9</v>
      </c>
      <c r="CB33">
        <v>12.317</v>
      </c>
      <c r="CC33">
        <v>12.317</v>
      </c>
      <c r="CD33">
        <v>13.483000000000001</v>
      </c>
      <c r="CE33">
        <v>11.632999999999999</v>
      </c>
      <c r="CF33">
        <v>24.8</v>
      </c>
      <c r="CG33">
        <v>18.45</v>
      </c>
      <c r="CH33">
        <v>8.4169999999999998</v>
      </c>
      <c r="CI33">
        <v>4.2</v>
      </c>
      <c r="CJ33">
        <v>16.033300000000001</v>
      </c>
      <c r="CK33">
        <v>19.95</v>
      </c>
      <c r="CL33">
        <v>44.466999999999999</v>
      </c>
      <c r="CM33" s="9">
        <v>17</v>
      </c>
      <c r="CN33">
        <v>13.75</v>
      </c>
      <c r="CO33">
        <v>19.5</v>
      </c>
      <c r="CP33">
        <v>12.706</v>
      </c>
      <c r="CQ33">
        <v>19.983000000000001</v>
      </c>
    </row>
    <row r="34" spans="1:95" x14ac:dyDescent="0.25">
      <c r="A34" s="1" t="s">
        <v>51</v>
      </c>
      <c r="B34" s="11">
        <f>19+39/60</f>
        <v>19.649999999999999</v>
      </c>
      <c r="C34" s="11">
        <v>13.2</v>
      </c>
      <c r="D34" s="11">
        <f>D33+1+46/60</f>
        <v>21.383333333333336</v>
      </c>
      <c r="E34" s="11">
        <v>16.367000000000001</v>
      </c>
      <c r="F34" s="11">
        <v>18.367000000000001</v>
      </c>
      <c r="G34" s="11">
        <f>19+1/60</f>
        <v>19.016666666666666</v>
      </c>
      <c r="H34" s="11">
        <f>10+52/60</f>
        <v>10.866666666666667</v>
      </c>
      <c r="I34" s="11" t="s">
        <v>62</v>
      </c>
      <c r="J34" s="11" t="s">
        <v>62</v>
      </c>
      <c r="K34" s="11" t="s">
        <v>62</v>
      </c>
      <c r="L34" s="58" t="s">
        <v>62</v>
      </c>
      <c r="M34" s="58">
        <v>25.216999999999999</v>
      </c>
      <c r="N34" s="58">
        <v>8.6669999999999998</v>
      </c>
      <c r="O34" s="58" t="s">
        <v>62</v>
      </c>
      <c r="P34" s="72" t="s">
        <v>62</v>
      </c>
      <c r="Q34" s="72">
        <v>93.1</v>
      </c>
      <c r="R34" s="72">
        <v>13.968999999999999</v>
      </c>
      <c r="S34" s="72" t="s">
        <v>62</v>
      </c>
      <c r="T34" s="72">
        <v>20.167000000000002</v>
      </c>
      <c r="U34" s="76">
        <v>56.267000000000003</v>
      </c>
      <c r="V34" s="72">
        <v>15.717000000000001</v>
      </c>
      <c r="W34" s="72" t="s">
        <v>62</v>
      </c>
      <c r="X34" s="72">
        <v>15.1</v>
      </c>
      <c r="Y34" s="72">
        <v>12.75</v>
      </c>
      <c r="Z34">
        <v>3.2730000000000001</v>
      </c>
      <c r="AA34">
        <v>28.266999999999999</v>
      </c>
      <c r="AB34">
        <v>14.882999999999999</v>
      </c>
      <c r="AC34">
        <v>11.0467</v>
      </c>
      <c r="AD34">
        <v>11.138999999999999</v>
      </c>
      <c r="AE34">
        <v>19.25</v>
      </c>
      <c r="AF34">
        <v>17.667000000000002</v>
      </c>
      <c r="AG34">
        <v>19.382999999999999</v>
      </c>
      <c r="AH34">
        <v>18.483000000000001</v>
      </c>
      <c r="AI34">
        <v>19.917000000000002</v>
      </c>
      <c r="AJ34">
        <v>20.0167</v>
      </c>
      <c r="AK34">
        <v>24.332999999999998</v>
      </c>
      <c r="AL34">
        <v>25.65</v>
      </c>
      <c r="AM34">
        <v>11.317</v>
      </c>
      <c r="AN34">
        <v>22</v>
      </c>
      <c r="AO34">
        <v>27.75</v>
      </c>
      <c r="AP34">
        <v>25.516999999999999</v>
      </c>
      <c r="AQ34">
        <v>23.417000000000002</v>
      </c>
      <c r="AR34">
        <v>8.8670000000000009</v>
      </c>
      <c r="AS34">
        <v>12.583</v>
      </c>
      <c r="AT34">
        <v>20.283000000000001</v>
      </c>
      <c r="AU34">
        <v>10.917</v>
      </c>
      <c r="AV34">
        <v>18.817</v>
      </c>
      <c r="AW34">
        <v>31.571000000000002</v>
      </c>
      <c r="AX34">
        <v>22.533000000000001</v>
      </c>
      <c r="AY34" t="s">
        <v>62</v>
      </c>
      <c r="AZ34">
        <v>13.45</v>
      </c>
      <c r="BA34">
        <v>11.5</v>
      </c>
      <c r="BB34">
        <v>15.083299999999999</v>
      </c>
      <c r="BC34">
        <v>15.132999999999999</v>
      </c>
      <c r="BD34">
        <v>10.75</v>
      </c>
      <c r="BE34">
        <v>80.167000000000002</v>
      </c>
      <c r="BF34">
        <v>15.083299999999999</v>
      </c>
      <c r="BG34">
        <v>15.516999999999999</v>
      </c>
      <c r="BH34">
        <v>25.167000000000002</v>
      </c>
      <c r="BI34">
        <v>18.55</v>
      </c>
      <c r="BJ34">
        <v>15.523</v>
      </c>
      <c r="BK34">
        <v>14.417</v>
      </c>
      <c r="BL34">
        <v>10.529</v>
      </c>
      <c r="BM34">
        <v>22.75</v>
      </c>
      <c r="BN34">
        <v>10.983000000000001</v>
      </c>
      <c r="BO34">
        <v>9.2200000000000006</v>
      </c>
      <c r="BP34">
        <v>18.899999999999999</v>
      </c>
      <c r="BQ34">
        <v>7.1669999999999998</v>
      </c>
      <c r="BR34">
        <v>33.383000000000003</v>
      </c>
      <c r="BS34">
        <v>22.367000000000001</v>
      </c>
      <c r="BT34">
        <v>25.492000000000001</v>
      </c>
      <c r="BU34">
        <v>13.333</v>
      </c>
      <c r="BV34">
        <v>12.282999999999999</v>
      </c>
      <c r="BX34">
        <v>10.8</v>
      </c>
      <c r="BY34">
        <v>15.05</v>
      </c>
      <c r="BZ34">
        <v>21.417000000000002</v>
      </c>
      <c r="CA34">
        <v>13.617000000000001</v>
      </c>
      <c r="CB34" t="s">
        <v>62</v>
      </c>
      <c r="CC34" t="s">
        <v>62</v>
      </c>
      <c r="CD34">
        <v>14.333</v>
      </c>
      <c r="CE34" t="s">
        <v>62</v>
      </c>
      <c r="CF34" t="s">
        <v>62</v>
      </c>
      <c r="CG34">
        <v>20.783000000000001</v>
      </c>
      <c r="CH34">
        <v>9.0167000000000002</v>
      </c>
      <c r="CI34">
        <v>6.25</v>
      </c>
      <c r="CJ34" t="s">
        <v>62</v>
      </c>
      <c r="CK34">
        <v>21.882999999999999</v>
      </c>
      <c r="CL34" t="s">
        <v>62</v>
      </c>
      <c r="CM34" s="9">
        <v>17.75</v>
      </c>
      <c r="CN34" t="s">
        <v>62</v>
      </c>
      <c r="CO34" t="s">
        <v>62</v>
      </c>
      <c r="CP34">
        <v>13.94</v>
      </c>
      <c r="CQ34">
        <v>20.433</v>
      </c>
    </row>
    <row r="35" spans="1:95" ht="30" x14ac:dyDescent="0.25">
      <c r="A35" s="1" t="s">
        <v>52</v>
      </c>
      <c r="B35" s="1"/>
      <c r="C35" t="s">
        <v>62</v>
      </c>
      <c r="E35" t="s">
        <v>62</v>
      </c>
      <c r="F35" t="s">
        <v>62</v>
      </c>
      <c r="H35" t="s">
        <v>62</v>
      </c>
      <c r="I35" s="30" t="s">
        <v>72</v>
      </c>
      <c r="J35" s="30" t="s">
        <v>73</v>
      </c>
      <c r="K35">
        <v>31.233000000000001</v>
      </c>
      <c r="L35" s="54" t="s">
        <v>138</v>
      </c>
      <c r="M35" s="54" t="s">
        <v>62</v>
      </c>
      <c r="N35" s="54" t="s">
        <v>62</v>
      </c>
      <c r="O35" s="54" t="s">
        <v>139</v>
      </c>
      <c r="P35" s="72" t="s">
        <v>157</v>
      </c>
      <c r="Q35" s="72" t="s">
        <v>62</v>
      </c>
      <c r="R35" s="72" t="s">
        <v>62</v>
      </c>
      <c r="S35" s="72" t="s">
        <v>158</v>
      </c>
      <c r="T35" s="76" t="s">
        <v>159</v>
      </c>
      <c r="U35" s="76" t="s">
        <v>160</v>
      </c>
      <c r="V35" s="72" t="s">
        <v>62</v>
      </c>
      <c r="W35" s="72" t="s">
        <v>161</v>
      </c>
      <c r="X35" s="72" t="s">
        <v>62</v>
      </c>
      <c r="Y35" s="72" t="s">
        <v>62</v>
      </c>
      <c r="Z35" t="s">
        <v>62</v>
      </c>
      <c r="AA35" t="s">
        <v>62</v>
      </c>
      <c r="AB35" t="s">
        <v>62</v>
      </c>
      <c r="AC35" t="s">
        <v>62</v>
      </c>
      <c r="AD35" t="s">
        <v>62</v>
      </c>
      <c r="AE35" t="s">
        <v>62</v>
      </c>
      <c r="AF35" t="s">
        <v>62</v>
      </c>
      <c r="AG35" t="s">
        <v>62</v>
      </c>
      <c r="AH35" t="s">
        <v>62</v>
      </c>
      <c r="AI35" t="s">
        <v>62</v>
      </c>
      <c r="AJ35" t="s">
        <v>62</v>
      </c>
      <c r="AK35" t="s">
        <v>62</v>
      </c>
      <c r="AL35" t="s">
        <v>62</v>
      </c>
      <c r="AM35" t="s">
        <v>62</v>
      </c>
      <c r="AN35" t="s">
        <v>62</v>
      </c>
      <c r="AO35" t="s">
        <v>62</v>
      </c>
      <c r="AP35" t="s">
        <v>62</v>
      </c>
      <c r="AQ35" t="s">
        <v>62</v>
      </c>
      <c r="AR35" t="s">
        <v>62</v>
      </c>
      <c r="AS35" t="s">
        <v>62</v>
      </c>
      <c r="AT35" t="s">
        <v>62</v>
      </c>
      <c r="AU35" t="s">
        <v>62</v>
      </c>
      <c r="AV35" t="s">
        <v>62</v>
      </c>
      <c r="AW35" t="s">
        <v>62</v>
      </c>
      <c r="AX35" t="s">
        <v>62</v>
      </c>
      <c r="AY35" t="s">
        <v>358</v>
      </c>
      <c r="AZ35" t="s">
        <v>62</v>
      </c>
      <c r="BA35" t="s">
        <v>62</v>
      </c>
      <c r="BB35" t="s">
        <v>62</v>
      </c>
      <c r="BC35" t="s">
        <v>62</v>
      </c>
      <c r="BD35" t="s">
        <v>62</v>
      </c>
      <c r="BE35" t="s">
        <v>62</v>
      </c>
      <c r="BF35" t="s">
        <v>62</v>
      </c>
      <c r="BG35" t="s">
        <v>62</v>
      </c>
      <c r="BH35" t="s">
        <v>62</v>
      </c>
      <c r="BI35" t="s">
        <v>62</v>
      </c>
      <c r="BJ35" t="s">
        <v>62</v>
      </c>
      <c r="BK35" t="s">
        <v>62</v>
      </c>
      <c r="BL35" t="s">
        <v>62</v>
      </c>
      <c r="BM35" t="s">
        <v>62</v>
      </c>
      <c r="BN35" t="s">
        <v>62</v>
      </c>
      <c r="BO35" t="s">
        <v>62</v>
      </c>
      <c r="BP35" t="s">
        <v>62</v>
      </c>
      <c r="BQ35" t="s">
        <v>62</v>
      </c>
      <c r="BR35" t="s">
        <v>62</v>
      </c>
      <c r="BS35" t="s">
        <v>62</v>
      </c>
      <c r="BT35" t="s">
        <v>62</v>
      </c>
      <c r="BU35" t="s">
        <v>62</v>
      </c>
      <c r="BV35" t="s">
        <v>62</v>
      </c>
      <c r="BW35" t="s">
        <v>62</v>
      </c>
      <c r="BX35" t="s">
        <v>62</v>
      </c>
      <c r="BY35" t="s">
        <v>62</v>
      </c>
      <c r="BZ35" t="s">
        <v>62</v>
      </c>
      <c r="CA35" t="s">
        <v>62</v>
      </c>
      <c r="CB35" t="s">
        <v>307</v>
      </c>
      <c r="CC35" t="s">
        <v>308</v>
      </c>
      <c r="CD35" t="s">
        <v>62</v>
      </c>
      <c r="CE35" t="s">
        <v>309</v>
      </c>
      <c r="CF35" t="s">
        <v>310</v>
      </c>
      <c r="CG35" t="s">
        <v>62</v>
      </c>
      <c r="CH35" t="s">
        <v>62</v>
      </c>
      <c r="CI35" t="s">
        <v>62</v>
      </c>
      <c r="CJ35" t="s">
        <v>311</v>
      </c>
      <c r="CK35" t="s">
        <v>62</v>
      </c>
      <c r="CL35" t="s">
        <v>314</v>
      </c>
      <c r="CM35" t="s">
        <v>62</v>
      </c>
      <c r="CN35" s="30" t="s">
        <v>315</v>
      </c>
      <c r="CO35" s="30" t="s">
        <v>316</v>
      </c>
      <c r="CP35" t="s">
        <v>62</v>
      </c>
      <c r="CQ35" t="s">
        <v>62</v>
      </c>
    </row>
    <row r="36" spans="1:95" ht="30" x14ac:dyDescent="0.25">
      <c r="A36" s="1"/>
      <c r="B36" s="1"/>
      <c r="C36" t="s">
        <v>63</v>
      </c>
      <c r="E36" t="s">
        <v>65</v>
      </c>
      <c r="F36" t="s">
        <v>65</v>
      </c>
      <c r="I36" t="s">
        <v>63</v>
      </c>
      <c r="J36" t="s">
        <v>63</v>
      </c>
      <c r="K36" t="s">
        <v>65</v>
      </c>
      <c r="L36" s="54" t="s">
        <v>63</v>
      </c>
      <c r="M36" s="54" t="s">
        <v>65</v>
      </c>
      <c r="N36" s="54" t="s">
        <v>63</v>
      </c>
      <c r="O36" s="54" t="s">
        <v>65</v>
      </c>
      <c r="P36" s="72" t="s">
        <v>65</v>
      </c>
      <c r="Q36" s="72" t="s">
        <v>63</v>
      </c>
      <c r="R36" s="72" t="s">
        <v>63</v>
      </c>
      <c r="S36" s="72" t="s">
        <v>65</v>
      </c>
      <c r="T36" s="72" t="s">
        <v>63</v>
      </c>
      <c r="U36" s="72" t="s">
        <v>63</v>
      </c>
      <c r="V36" s="72" t="s">
        <v>63</v>
      </c>
      <c r="W36" s="72" t="s">
        <v>63</v>
      </c>
      <c r="X36" s="72" t="s">
        <v>65</v>
      </c>
      <c r="Y36" s="72" t="s">
        <v>65</v>
      </c>
      <c r="Z36" t="s">
        <v>63</v>
      </c>
      <c r="AA36" t="s">
        <v>65</v>
      </c>
      <c r="AB36" t="s">
        <v>63</v>
      </c>
      <c r="AC36" t="s">
        <v>63</v>
      </c>
      <c r="AD36" t="s">
        <v>63</v>
      </c>
      <c r="AE36" t="s">
        <v>65</v>
      </c>
      <c r="AF36" t="s">
        <v>65</v>
      </c>
      <c r="AG36" t="s">
        <v>65</v>
      </c>
      <c r="AH36" t="s">
        <v>65</v>
      </c>
      <c r="AI36" t="s">
        <v>65</v>
      </c>
      <c r="AJ36" t="s">
        <v>63</v>
      </c>
      <c r="AK36" t="s">
        <v>65</v>
      </c>
      <c r="AL36" t="s">
        <v>63</v>
      </c>
      <c r="AM36" t="s">
        <v>63</v>
      </c>
      <c r="AN36" t="s">
        <v>63</v>
      </c>
      <c r="AO36" t="s">
        <v>63</v>
      </c>
      <c r="AP36" t="s">
        <v>63</v>
      </c>
      <c r="AQ36" t="s">
        <v>63</v>
      </c>
      <c r="AR36" t="s">
        <v>65</v>
      </c>
      <c r="AS36" t="s">
        <v>63</v>
      </c>
      <c r="AT36" t="s">
        <v>63</v>
      </c>
      <c r="AU36" t="s">
        <v>63</v>
      </c>
      <c r="AV36" t="s">
        <v>65</v>
      </c>
      <c r="AW36" t="s">
        <v>63</v>
      </c>
      <c r="AX36" t="s">
        <v>65</v>
      </c>
      <c r="AY36" t="s">
        <v>63</v>
      </c>
      <c r="AZ36" t="s">
        <v>63</v>
      </c>
      <c r="BA36" t="s">
        <v>63</v>
      </c>
      <c r="BB36" t="s">
        <v>65</v>
      </c>
      <c r="BC36" t="s">
        <v>65</v>
      </c>
      <c r="BD36" s="30" t="s">
        <v>214</v>
      </c>
      <c r="BE36" t="s">
        <v>65</v>
      </c>
      <c r="BF36" t="s">
        <v>65</v>
      </c>
      <c r="BG36" t="s">
        <v>65</v>
      </c>
      <c r="BH36" t="s">
        <v>63</v>
      </c>
      <c r="BI36" t="s">
        <v>63</v>
      </c>
      <c r="BJ36" t="s">
        <v>65</v>
      </c>
      <c r="BK36" t="s">
        <v>65</v>
      </c>
      <c r="BL36" t="s">
        <v>65</v>
      </c>
      <c r="BM36" t="s">
        <v>63</v>
      </c>
      <c r="BN36" t="s">
        <v>65</v>
      </c>
      <c r="BO36" t="s">
        <v>65</v>
      </c>
      <c r="BP36" t="s">
        <v>63</v>
      </c>
      <c r="BQ36" t="s">
        <v>65</v>
      </c>
      <c r="BR36" t="s">
        <v>63</v>
      </c>
      <c r="BS36" t="s">
        <v>65</v>
      </c>
      <c r="BT36" t="s">
        <v>65</v>
      </c>
      <c r="BU36" t="s">
        <v>63</v>
      </c>
      <c r="BV36" t="s">
        <v>65</v>
      </c>
      <c r="BW36" t="s">
        <v>65</v>
      </c>
      <c r="BX36" t="s">
        <v>63</v>
      </c>
      <c r="BY36" t="s">
        <v>63</v>
      </c>
      <c r="BZ36" t="s">
        <v>63</v>
      </c>
      <c r="CA36" t="s">
        <v>63</v>
      </c>
      <c r="CB36" t="s">
        <v>65</v>
      </c>
      <c r="CC36" t="s">
        <v>63</v>
      </c>
      <c r="CD36" t="s">
        <v>65</v>
      </c>
      <c r="CE36" t="s">
        <v>63</v>
      </c>
      <c r="CF36" t="s">
        <v>63</v>
      </c>
      <c r="CG36" t="s">
        <v>63</v>
      </c>
      <c r="CH36" t="s">
        <v>65</v>
      </c>
      <c r="CI36" t="s">
        <v>65</v>
      </c>
      <c r="CJ36" t="s">
        <v>63</v>
      </c>
      <c r="CK36" t="s">
        <v>65</v>
      </c>
      <c r="CL36" t="s">
        <v>63</v>
      </c>
      <c r="CM36" t="s">
        <v>63</v>
      </c>
      <c r="CN36" t="s">
        <v>65</v>
      </c>
      <c r="CO36" t="s">
        <v>65</v>
      </c>
      <c r="CP36" t="s">
        <v>65</v>
      </c>
      <c r="CQ36" t="s">
        <v>65</v>
      </c>
    </row>
    <row r="37" spans="1:95" x14ac:dyDescent="0.25">
      <c r="P37" s="78"/>
      <c r="Q37" s="72"/>
      <c r="R37" s="72"/>
      <c r="S37" s="72"/>
      <c r="T37" s="72"/>
      <c r="U37" s="72"/>
      <c r="V37" s="72"/>
      <c r="W37" s="72"/>
      <c r="X37" s="72"/>
      <c r="Y37" s="72"/>
    </row>
    <row r="38" spans="1:95" x14ac:dyDescent="0.25">
      <c r="P38" s="77"/>
      <c r="Q38" s="77"/>
      <c r="R38" s="77"/>
      <c r="S38" s="77"/>
      <c r="T38" s="77"/>
      <c r="U38" s="77"/>
      <c r="V38" s="77"/>
      <c r="W38" s="72"/>
      <c r="X38" s="72"/>
      <c r="Y38" s="72"/>
    </row>
  </sheetData>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M47"/>
  <sheetViews>
    <sheetView zoomScale="80" zoomScaleNormal="80" workbookViewId="0">
      <pane xSplit="3" ySplit="1" topLeftCell="D20" activePane="bottomRight" state="frozen"/>
      <selection pane="topRight" activeCell="D1" sqref="D1"/>
      <selection pane="bottomLeft" activeCell="A2" sqref="A2"/>
      <selection pane="bottomRight" activeCell="K40" sqref="K40"/>
    </sheetView>
  </sheetViews>
  <sheetFormatPr defaultColWidth="15.7109375" defaultRowHeight="15" x14ac:dyDescent="0.25"/>
  <cols>
    <col min="1" max="1" width="30.7109375" customWidth="1"/>
    <col min="2" max="2" width="11.28515625" style="1" customWidth="1"/>
    <col min="3" max="4" width="15.7109375" style="1"/>
  </cols>
  <sheetData>
    <row r="1" spans="1:91" s="4" customFormat="1" ht="15" customHeight="1" thickBot="1" x14ac:dyDescent="0.3">
      <c r="B1" s="87" t="s">
        <v>0</v>
      </c>
      <c r="C1" s="88" t="s">
        <v>2</v>
      </c>
      <c r="D1" s="88" t="s">
        <v>67</v>
      </c>
      <c r="E1" s="88" t="s">
        <v>64</v>
      </c>
      <c r="F1" s="88" t="s">
        <v>66</v>
      </c>
      <c r="G1" s="88" t="s">
        <v>53</v>
      </c>
      <c r="H1" s="88" t="s">
        <v>54</v>
      </c>
      <c r="I1" s="88" t="s">
        <v>55</v>
      </c>
      <c r="J1" s="88" t="s">
        <v>56</v>
      </c>
      <c r="K1" s="88" t="s">
        <v>57</v>
      </c>
      <c r="L1" s="88" t="s">
        <v>58</v>
      </c>
      <c r="M1" s="88" t="s">
        <v>59</v>
      </c>
      <c r="N1" s="89" t="s">
        <v>133</v>
      </c>
      <c r="O1" s="89" t="s">
        <v>134</v>
      </c>
      <c r="P1" s="89" t="s">
        <v>135</v>
      </c>
      <c r="Q1" s="89" t="s">
        <v>136</v>
      </c>
      <c r="R1" s="90" t="s">
        <v>145</v>
      </c>
      <c r="S1" s="90" t="s">
        <v>147</v>
      </c>
      <c r="T1" s="90" t="s">
        <v>148</v>
      </c>
      <c r="U1" s="90" t="s">
        <v>149</v>
      </c>
      <c r="V1" s="90" t="s">
        <v>150</v>
      </c>
      <c r="W1" s="90" t="s">
        <v>151</v>
      </c>
      <c r="X1" s="90" t="s">
        <v>152</v>
      </c>
      <c r="Y1" s="90" t="s">
        <v>153</v>
      </c>
      <c r="Z1" s="90" t="s">
        <v>154</v>
      </c>
      <c r="AA1" s="90" t="s">
        <v>163</v>
      </c>
      <c r="AB1" s="90" t="s">
        <v>164</v>
      </c>
      <c r="AC1" s="90" t="s">
        <v>165</v>
      </c>
      <c r="AD1" s="90" t="s">
        <v>166</v>
      </c>
      <c r="AE1" s="90" t="s">
        <v>167</v>
      </c>
      <c r="AF1" s="90" t="s">
        <v>168</v>
      </c>
      <c r="AG1" s="90" t="s">
        <v>169</v>
      </c>
      <c r="AH1" s="90" t="s">
        <v>170</v>
      </c>
      <c r="AI1" s="90" t="s">
        <v>171</v>
      </c>
      <c r="AJ1" s="90" t="s">
        <v>172</v>
      </c>
      <c r="AK1" s="90" t="s">
        <v>173</v>
      </c>
      <c r="AL1" s="90" t="s">
        <v>174</v>
      </c>
      <c r="AM1" s="90" t="s">
        <v>175</v>
      </c>
      <c r="AN1" s="90" t="s">
        <v>176</v>
      </c>
      <c r="AO1" s="90" t="s">
        <v>177</v>
      </c>
      <c r="AP1" s="90" t="s">
        <v>178</v>
      </c>
      <c r="AQ1" s="90" t="s">
        <v>179</v>
      </c>
      <c r="AR1" s="90" t="s">
        <v>180</v>
      </c>
      <c r="AS1" s="90" t="s">
        <v>182</v>
      </c>
      <c r="AT1" s="90" t="s">
        <v>183</v>
      </c>
      <c r="AU1" s="90" t="s">
        <v>184</v>
      </c>
      <c r="AV1" s="90" t="s">
        <v>185</v>
      </c>
      <c r="AW1" s="90" t="s">
        <v>186</v>
      </c>
      <c r="AX1" s="71" t="s">
        <v>187</v>
      </c>
      <c r="AY1" s="90" t="s">
        <v>189</v>
      </c>
      <c r="AZ1" s="90" t="s">
        <v>190</v>
      </c>
      <c r="BA1" s="90" t="s">
        <v>191</v>
      </c>
      <c r="BB1" s="90" t="s">
        <v>192</v>
      </c>
      <c r="BC1" s="90" t="s">
        <v>194</v>
      </c>
      <c r="BD1" s="90" t="s">
        <v>195</v>
      </c>
      <c r="BE1" s="90" t="s">
        <v>196</v>
      </c>
      <c r="BF1" s="90" t="s">
        <v>197</v>
      </c>
      <c r="BG1" s="90" t="s">
        <v>198</v>
      </c>
      <c r="BH1" s="90" t="s">
        <v>199</v>
      </c>
      <c r="BI1" s="90" t="s">
        <v>200</v>
      </c>
      <c r="BJ1" s="90" t="s">
        <v>201</v>
      </c>
      <c r="BK1" s="90" t="s">
        <v>202</v>
      </c>
      <c r="BL1" s="90" t="s">
        <v>204</v>
      </c>
      <c r="BM1" s="90" t="s">
        <v>205</v>
      </c>
      <c r="BN1" s="90" t="s">
        <v>206</v>
      </c>
      <c r="BO1" s="90" t="s">
        <v>207</v>
      </c>
      <c r="BP1" s="90" t="s">
        <v>208</v>
      </c>
      <c r="BQ1" s="90" t="s">
        <v>209</v>
      </c>
      <c r="BR1" s="90" t="s">
        <v>216</v>
      </c>
      <c r="BS1" s="90" t="s">
        <v>217</v>
      </c>
      <c r="BT1" s="90" t="s">
        <v>218</v>
      </c>
      <c r="BU1" s="90" t="s">
        <v>219</v>
      </c>
      <c r="BV1" s="71" t="s">
        <v>289</v>
      </c>
      <c r="BW1" s="71" t="s">
        <v>290</v>
      </c>
      <c r="BX1" s="71" t="s">
        <v>291</v>
      </c>
      <c r="BY1" s="71" t="s">
        <v>292</v>
      </c>
      <c r="BZ1" s="71" t="s">
        <v>293</v>
      </c>
      <c r="CA1" s="71" t="s">
        <v>294</v>
      </c>
      <c r="CB1" s="71" t="s">
        <v>295</v>
      </c>
      <c r="CC1" s="71" t="s">
        <v>296</v>
      </c>
      <c r="CD1" s="71" t="s">
        <v>297</v>
      </c>
      <c r="CE1" s="71" t="s">
        <v>298</v>
      </c>
      <c r="CF1" s="71" t="s">
        <v>299</v>
      </c>
      <c r="CG1" s="71" t="s">
        <v>300</v>
      </c>
      <c r="CH1" s="71" t="s">
        <v>301</v>
      </c>
      <c r="CI1" s="71" t="s">
        <v>302</v>
      </c>
      <c r="CJ1" s="71" t="s">
        <v>303</v>
      </c>
      <c r="CK1" s="71" t="s">
        <v>304</v>
      </c>
      <c r="CL1" s="71" t="s">
        <v>305</v>
      </c>
      <c r="CM1" s="71" t="s">
        <v>306</v>
      </c>
    </row>
    <row r="2" spans="1:91" s="86" customFormat="1" ht="30" x14ac:dyDescent="0.25">
      <c r="A2" s="344" t="s">
        <v>371</v>
      </c>
      <c r="B2" s="91" t="s">
        <v>19</v>
      </c>
      <c r="C2" s="92" t="s">
        <v>10</v>
      </c>
      <c r="D2" s="435" t="s">
        <v>393</v>
      </c>
      <c r="E2" s="92"/>
      <c r="F2" s="92"/>
      <c r="G2" s="92"/>
      <c r="H2" s="92"/>
      <c r="I2" s="92"/>
      <c r="J2" s="92"/>
      <c r="K2" s="92"/>
      <c r="L2" s="92"/>
      <c r="M2" s="92"/>
      <c r="N2" s="93"/>
      <c r="O2" s="93"/>
      <c r="P2" s="93"/>
      <c r="Q2" s="93"/>
      <c r="R2" s="94"/>
      <c r="S2" s="95"/>
      <c r="T2" s="95"/>
      <c r="U2" s="95"/>
      <c r="V2" s="95"/>
      <c r="W2" s="96"/>
      <c r="X2" s="96"/>
      <c r="Y2" s="96"/>
      <c r="Z2" s="96"/>
      <c r="AA2" s="95"/>
      <c r="AB2" s="95"/>
      <c r="AC2" s="95"/>
      <c r="AD2" s="95"/>
      <c r="AE2" s="95"/>
      <c r="AF2" s="95"/>
      <c r="AG2" s="95"/>
      <c r="AH2" s="95"/>
      <c r="AI2" s="95"/>
      <c r="AJ2" s="95"/>
      <c r="AK2" s="95"/>
      <c r="AL2" s="95"/>
      <c r="AM2" s="95"/>
      <c r="AN2" s="95"/>
      <c r="AO2" s="95"/>
      <c r="AP2" s="95"/>
      <c r="AQ2" s="95"/>
      <c r="AR2" s="95"/>
      <c r="AS2" s="95"/>
      <c r="AT2" s="95"/>
      <c r="AU2" s="95"/>
      <c r="AV2" s="95"/>
      <c r="AW2" s="95"/>
      <c r="AX2" s="30"/>
      <c r="AY2" s="95"/>
      <c r="AZ2" s="95"/>
      <c r="BA2" s="95"/>
      <c r="BB2" s="95"/>
      <c r="BC2" s="95"/>
      <c r="BD2" s="95"/>
      <c r="BE2" s="95"/>
      <c r="BF2" s="95"/>
      <c r="BG2" s="95"/>
      <c r="BH2" s="95"/>
      <c r="BI2" s="95"/>
      <c r="BJ2" s="95"/>
      <c r="BK2" s="95"/>
      <c r="BL2" s="95"/>
      <c r="BM2" s="95"/>
      <c r="BN2" s="95"/>
      <c r="BO2" s="95"/>
      <c r="BP2" s="95"/>
      <c r="BQ2" s="95"/>
      <c r="BR2" s="95"/>
      <c r="BS2" s="95"/>
      <c r="BT2" s="95"/>
      <c r="BU2" s="95"/>
      <c r="BV2" s="30"/>
      <c r="BW2" s="30"/>
      <c r="BX2" s="30"/>
      <c r="BY2" s="30"/>
      <c r="BZ2" s="30"/>
      <c r="CA2" s="30"/>
      <c r="CB2" s="30"/>
      <c r="CC2" s="30"/>
      <c r="CD2" s="30"/>
      <c r="CE2" s="30"/>
      <c r="CF2" s="30"/>
      <c r="CG2" s="30"/>
      <c r="CH2" s="30"/>
      <c r="CI2" s="30"/>
      <c r="CJ2" s="30"/>
      <c r="CK2" s="30"/>
      <c r="CL2" s="30"/>
      <c r="CM2" s="30"/>
    </row>
    <row r="3" spans="1:91" s="30" customFormat="1" ht="30" x14ac:dyDescent="0.25">
      <c r="A3" s="345"/>
      <c r="B3" s="96" t="s">
        <v>20</v>
      </c>
      <c r="C3" s="92" t="s">
        <v>10</v>
      </c>
      <c r="D3" s="96">
        <v>41579</v>
      </c>
      <c r="E3" s="96">
        <v>41582</v>
      </c>
      <c r="F3" s="96">
        <v>41582</v>
      </c>
      <c r="G3" s="96">
        <v>41582</v>
      </c>
      <c r="H3" s="96">
        <v>41583</v>
      </c>
      <c r="I3" s="96">
        <v>41583</v>
      </c>
      <c r="J3" s="96">
        <v>41583</v>
      </c>
      <c r="K3" s="96">
        <v>41583</v>
      </c>
      <c r="L3" s="96">
        <v>41584</v>
      </c>
      <c r="M3" s="96">
        <v>41584</v>
      </c>
      <c r="N3" s="93">
        <v>41584</v>
      </c>
      <c r="O3" s="93">
        <v>41585</v>
      </c>
      <c r="P3" s="93">
        <v>41585</v>
      </c>
      <c r="Q3" s="93">
        <v>41585</v>
      </c>
      <c r="R3" s="94">
        <v>41584</v>
      </c>
      <c r="S3" s="94">
        <v>41585</v>
      </c>
      <c r="T3" s="94">
        <v>41585</v>
      </c>
      <c r="U3" s="94">
        <v>41585</v>
      </c>
      <c r="V3" s="94">
        <v>41585</v>
      </c>
      <c r="W3" s="94">
        <v>41586</v>
      </c>
      <c r="X3" s="94">
        <v>41586</v>
      </c>
      <c r="Y3" s="94">
        <v>41586</v>
      </c>
      <c r="Z3" s="94">
        <v>41586</v>
      </c>
      <c r="AA3" s="95">
        <v>41585</v>
      </c>
      <c r="AB3" s="95">
        <v>41585</v>
      </c>
      <c r="AC3" s="95">
        <v>41586</v>
      </c>
      <c r="AD3" s="95">
        <v>41586</v>
      </c>
      <c r="AE3" s="95">
        <v>41590</v>
      </c>
      <c r="AF3" s="95">
        <v>41590</v>
      </c>
      <c r="AG3" s="95">
        <v>41590</v>
      </c>
      <c r="AH3" s="95">
        <v>41590</v>
      </c>
      <c r="AI3" s="95">
        <v>41590</v>
      </c>
      <c r="AJ3" s="95">
        <v>41590</v>
      </c>
      <c r="AK3" s="95">
        <v>41583</v>
      </c>
      <c r="AL3" s="95">
        <v>41583</v>
      </c>
      <c r="AM3" s="95">
        <v>41584</v>
      </c>
      <c r="AN3" s="95">
        <v>41585</v>
      </c>
      <c r="AO3" s="95">
        <v>41586</v>
      </c>
      <c r="AP3" s="95">
        <v>41590</v>
      </c>
      <c r="AQ3" s="95">
        <v>41591</v>
      </c>
      <c r="AR3" s="95">
        <v>41591</v>
      </c>
      <c r="AS3" s="95">
        <v>41591</v>
      </c>
      <c r="AT3" s="95">
        <v>41591</v>
      </c>
      <c r="AU3" s="95">
        <v>41591</v>
      </c>
      <c r="AV3" s="95">
        <v>41591</v>
      </c>
      <c r="AW3" s="95">
        <v>41591</v>
      </c>
      <c r="AX3" s="79">
        <v>41589</v>
      </c>
      <c r="AY3" s="95">
        <v>41591</v>
      </c>
      <c r="AZ3" s="95" t="s">
        <v>210</v>
      </c>
      <c r="BA3" s="95">
        <v>41583</v>
      </c>
      <c r="BB3" s="95">
        <v>41584</v>
      </c>
      <c r="BC3" s="95"/>
      <c r="BD3" s="95">
        <v>41585</v>
      </c>
      <c r="BE3" s="95">
        <v>41586</v>
      </c>
      <c r="BF3" s="95">
        <v>41590</v>
      </c>
      <c r="BG3" s="95">
        <v>41591</v>
      </c>
      <c r="BH3" s="95">
        <v>41591</v>
      </c>
      <c r="BI3" s="95">
        <v>41591</v>
      </c>
      <c r="BJ3" s="95">
        <v>41591</v>
      </c>
      <c r="BK3" s="95">
        <v>41591</v>
      </c>
      <c r="BL3" s="95">
        <v>41592</v>
      </c>
      <c r="BM3" s="95">
        <v>41592</v>
      </c>
      <c r="BN3" s="95">
        <v>41592</v>
      </c>
      <c r="BO3" s="95">
        <v>41592</v>
      </c>
      <c r="BP3" s="95">
        <v>41592</v>
      </c>
      <c r="BQ3" s="95">
        <v>41592</v>
      </c>
      <c r="BR3" s="97">
        <v>41592</v>
      </c>
      <c r="BS3" s="97">
        <v>41592</v>
      </c>
      <c r="BT3" s="97">
        <v>41591</v>
      </c>
      <c r="BU3" s="97">
        <v>41592</v>
      </c>
      <c r="BV3" s="79">
        <v>41584</v>
      </c>
      <c r="BW3" s="79">
        <v>41585</v>
      </c>
      <c r="BX3" s="79">
        <v>41585</v>
      </c>
      <c r="BY3" s="79">
        <v>41586</v>
      </c>
      <c r="BZ3" s="79">
        <v>41590</v>
      </c>
      <c r="CA3" s="79">
        <v>41590</v>
      </c>
      <c r="CB3" s="79">
        <v>41591</v>
      </c>
      <c r="CC3" s="79">
        <v>41591</v>
      </c>
      <c r="CD3" s="79">
        <v>41592</v>
      </c>
      <c r="CE3" s="79">
        <v>41592</v>
      </c>
      <c r="CF3" s="79">
        <v>41592</v>
      </c>
      <c r="CG3" s="79">
        <v>41592</v>
      </c>
      <c r="CH3" s="79">
        <v>41592</v>
      </c>
      <c r="CI3" s="79">
        <v>41593</v>
      </c>
      <c r="CJ3" s="79">
        <v>41593</v>
      </c>
      <c r="CK3" s="79">
        <v>41593</v>
      </c>
      <c r="CL3" s="79">
        <v>41593</v>
      </c>
      <c r="CM3" s="79">
        <v>41593</v>
      </c>
    </row>
    <row r="4" spans="1:91" s="30" customFormat="1" ht="30" x14ac:dyDescent="0.25">
      <c r="A4" s="345"/>
      <c r="B4" s="96" t="s">
        <v>21</v>
      </c>
      <c r="C4" s="92" t="s">
        <v>10</v>
      </c>
      <c r="D4" s="435" t="s">
        <v>393</v>
      </c>
      <c r="E4" s="96"/>
      <c r="F4" s="96"/>
      <c r="G4" s="96"/>
      <c r="H4" s="96"/>
      <c r="I4" s="96"/>
      <c r="J4" s="96"/>
      <c r="K4" s="96"/>
      <c r="L4" s="96"/>
      <c r="M4" s="96"/>
      <c r="N4" s="93"/>
      <c r="O4" s="93"/>
      <c r="P4" s="93"/>
      <c r="Q4" s="93"/>
      <c r="R4" s="94"/>
      <c r="S4" s="95"/>
      <c r="T4" s="95"/>
      <c r="U4" s="95"/>
      <c r="V4" s="95"/>
      <c r="W4" s="96"/>
      <c r="X4" s="96"/>
      <c r="Y4" s="96"/>
      <c r="Z4" s="96"/>
      <c r="AA4" s="95"/>
      <c r="AB4" s="95"/>
      <c r="AC4" s="95"/>
      <c r="AD4" s="95"/>
      <c r="AE4" s="95"/>
      <c r="AF4" s="95"/>
      <c r="AG4" s="95"/>
      <c r="AH4" s="95"/>
      <c r="AI4" s="95"/>
      <c r="AJ4" s="95"/>
      <c r="AK4" s="95"/>
      <c r="AL4" s="95"/>
      <c r="AM4" s="95"/>
      <c r="AN4" s="95"/>
      <c r="AO4" s="95"/>
      <c r="AP4" s="95"/>
      <c r="AQ4" s="95"/>
      <c r="AR4" s="95"/>
      <c r="AS4" s="95"/>
      <c r="AT4" s="95"/>
      <c r="AU4" s="95"/>
      <c r="AV4" s="95"/>
      <c r="AW4" s="95"/>
      <c r="AY4" s="95"/>
      <c r="AZ4" s="95"/>
      <c r="BA4" s="95"/>
      <c r="BB4" s="95"/>
      <c r="BC4" s="95"/>
      <c r="BD4" s="95"/>
      <c r="BE4" s="95"/>
      <c r="BF4" s="95"/>
      <c r="BG4" s="95"/>
      <c r="BH4" s="95"/>
      <c r="BI4" s="95"/>
      <c r="BJ4" s="95"/>
      <c r="BK4" s="95"/>
      <c r="BL4" s="95"/>
      <c r="BM4" s="95"/>
      <c r="BN4" s="95"/>
      <c r="BO4" s="95"/>
      <c r="BP4" s="95"/>
      <c r="BQ4" s="95"/>
      <c r="BR4" s="95"/>
      <c r="BS4" s="95"/>
      <c r="BT4" s="95"/>
      <c r="BU4" s="95"/>
      <c r="CJ4" s="167"/>
    </row>
    <row r="5" spans="1:91" x14ac:dyDescent="0.25">
      <c r="A5" s="345"/>
      <c r="B5" s="98" t="s">
        <v>22</v>
      </c>
      <c r="C5" s="99" t="s">
        <v>10</v>
      </c>
      <c r="D5" s="98">
        <v>0.45833333333333331</v>
      </c>
      <c r="E5" s="98">
        <v>0.3125</v>
      </c>
      <c r="F5" s="98">
        <v>0.42708333333333331</v>
      </c>
      <c r="G5" s="98">
        <v>0.50208333333333333</v>
      </c>
      <c r="H5" s="98">
        <v>0.2986111111111111</v>
      </c>
      <c r="I5" s="98">
        <v>0.4201388888888889</v>
      </c>
      <c r="J5" s="98">
        <v>0.42708333333333331</v>
      </c>
      <c r="K5" s="98">
        <v>0.31597222222222221</v>
      </c>
      <c r="L5" s="98">
        <v>0.35902777777777778</v>
      </c>
      <c r="M5" s="98">
        <v>0.375</v>
      </c>
      <c r="N5" s="100">
        <v>0.43055555555555602</v>
      </c>
      <c r="O5" s="100">
        <v>0.30555555555555602</v>
      </c>
      <c r="P5" s="100">
        <v>0.41666666666666702</v>
      </c>
      <c r="Q5" s="100">
        <v>0.50833333333333297</v>
      </c>
      <c r="R5" s="101">
        <v>0.45833333333333298</v>
      </c>
      <c r="S5" s="101">
        <v>0.35208333333333303</v>
      </c>
      <c r="T5" s="101">
        <v>0.40625</v>
      </c>
      <c r="U5" s="101">
        <v>0.44791666666666702</v>
      </c>
      <c r="V5" s="101">
        <v>0.46875</v>
      </c>
      <c r="W5" s="101">
        <v>0.36666666666666697</v>
      </c>
      <c r="X5" s="101">
        <v>0.375</v>
      </c>
      <c r="Y5" s="101">
        <v>0.42361111111111099</v>
      </c>
      <c r="Z5" s="101">
        <v>0.45833333333333298</v>
      </c>
      <c r="AA5" s="97">
        <v>0.36458333333333331</v>
      </c>
      <c r="AB5" s="97">
        <v>0.39583333333333331</v>
      </c>
      <c r="AC5" s="97">
        <v>0.34027777777777773</v>
      </c>
      <c r="AD5" s="97">
        <v>0.45694444444444443</v>
      </c>
      <c r="AE5" s="97">
        <v>0.26041666666666669</v>
      </c>
      <c r="AF5" s="97">
        <v>0.32291666666666669</v>
      </c>
      <c r="AG5" s="97">
        <v>0.33263888888888887</v>
      </c>
      <c r="AH5" s="97">
        <v>0.35416666666666669</v>
      </c>
      <c r="AI5" s="97">
        <v>0.38541666666666669</v>
      </c>
      <c r="AJ5" s="97">
        <v>0.4201388888888889</v>
      </c>
      <c r="AK5" s="97">
        <v>0.4375</v>
      </c>
      <c r="AL5" s="97">
        <v>0.51041666666666663</v>
      </c>
      <c r="AM5" s="97">
        <v>0.375</v>
      </c>
      <c r="AN5" s="97">
        <v>0.41666666666666669</v>
      </c>
      <c r="AO5" s="97">
        <v>0.50347222222222221</v>
      </c>
      <c r="AP5" s="97">
        <v>0.3611111111111111</v>
      </c>
      <c r="AQ5" s="97">
        <v>0.32500000000000001</v>
      </c>
      <c r="AR5" s="97">
        <v>0.33333333333333331</v>
      </c>
      <c r="AS5" s="97">
        <v>0.34375</v>
      </c>
      <c r="AT5" s="97">
        <v>0.4513888888888889</v>
      </c>
      <c r="AU5" s="97">
        <v>0.45833333333333331</v>
      </c>
      <c r="AV5" s="97">
        <v>0.46875</v>
      </c>
      <c r="AW5" s="97">
        <v>0.54166666666666663</v>
      </c>
      <c r="AX5" s="80">
        <v>0.34722222222222227</v>
      </c>
      <c r="AY5" s="97">
        <v>0.39583333333333331</v>
      </c>
      <c r="AZ5" s="97">
        <v>0.57638888888888895</v>
      </c>
      <c r="BA5" s="97">
        <v>0.4236111111111111</v>
      </c>
      <c r="BB5" s="97">
        <v>0.38750000000000001</v>
      </c>
      <c r="BC5" s="97"/>
      <c r="BD5" s="97">
        <v>0.40972222222222227</v>
      </c>
      <c r="BE5" s="97">
        <v>0.4548611111111111</v>
      </c>
      <c r="BF5" s="97">
        <v>0.43124999999999997</v>
      </c>
      <c r="BG5" s="97">
        <v>0.3444444444444445</v>
      </c>
      <c r="BH5" s="97">
        <v>0.39930555555555558</v>
      </c>
      <c r="BI5" s="97">
        <v>0.41041666666666665</v>
      </c>
      <c r="BJ5" s="97">
        <v>0.41666666666666669</v>
      </c>
      <c r="BK5" s="97">
        <v>0.54583333333333328</v>
      </c>
      <c r="BL5" s="97">
        <v>0.29166666666666669</v>
      </c>
      <c r="BM5" s="97">
        <v>0.34861111111111115</v>
      </c>
      <c r="BN5" s="97">
        <v>0.39583333333333331</v>
      </c>
      <c r="BO5" s="97">
        <v>0.40625</v>
      </c>
      <c r="BP5" s="97">
        <v>0.41666666666666669</v>
      </c>
      <c r="BQ5" s="97">
        <v>0.41666666666666669</v>
      </c>
      <c r="BR5" s="97">
        <v>0.43402777777777773</v>
      </c>
      <c r="BS5" s="97">
        <v>0.4513888888888889</v>
      </c>
      <c r="BT5" s="97">
        <v>0.37291666666666662</v>
      </c>
      <c r="BU5" s="97">
        <v>0.32500000000000001</v>
      </c>
      <c r="BV5" s="80">
        <v>0.39583333333333331</v>
      </c>
      <c r="BW5" s="81">
        <v>0.4770833333333333</v>
      </c>
      <c r="BX5" s="80">
        <v>0.5625</v>
      </c>
      <c r="BY5" s="81">
        <v>0.46875</v>
      </c>
      <c r="BZ5" s="81">
        <v>0.27083333333333331</v>
      </c>
      <c r="CA5" s="80">
        <v>0.54166666666666663</v>
      </c>
      <c r="CB5" s="80">
        <v>0.35416666666666669</v>
      </c>
      <c r="CC5" s="81">
        <v>0.48958333333333331</v>
      </c>
      <c r="CD5" s="80"/>
      <c r="CE5" s="80">
        <v>0.44722222222222219</v>
      </c>
      <c r="CF5" s="81">
        <v>0.46180555555555558</v>
      </c>
      <c r="CG5" s="80">
        <v>0.51041666666666663</v>
      </c>
      <c r="CH5" s="80">
        <v>0.56666666666666665</v>
      </c>
      <c r="CI5" s="80">
        <v>0.29166666666666669</v>
      </c>
      <c r="CJ5" s="80">
        <v>0.30208333333333331</v>
      </c>
      <c r="CK5" s="81">
        <v>0.34722222222222227</v>
      </c>
      <c r="CL5" s="80">
        <v>0.375</v>
      </c>
      <c r="CM5" s="80">
        <v>0.48958333333333331</v>
      </c>
    </row>
    <row r="6" spans="1:91" x14ac:dyDescent="0.25">
      <c r="A6" s="345"/>
      <c r="B6" s="98" t="s">
        <v>23</v>
      </c>
      <c r="C6" s="99" t="s">
        <v>10</v>
      </c>
      <c r="D6" s="98" t="s">
        <v>61</v>
      </c>
      <c r="E6" s="98" t="s">
        <v>61</v>
      </c>
      <c r="F6" s="98" t="s">
        <v>61</v>
      </c>
      <c r="G6" s="98" t="s">
        <v>61</v>
      </c>
      <c r="H6" s="98" t="s">
        <v>61</v>
      </c>
      <c r="I6" s="98" t="s">
        <v>61</v>
      </c>
      <c r="J6" s="98" t="s">
        <v>61</v>
      </c>
      <c r="K6" s="98" t="s">
        <v>61</v>
      </c>
      <c r="L6" s="98" t="s">
        <v>61</v>
      </c>
      <c r="M6" s="98" t="s">
        <v>61</v>
      </c>
      <c r="N6" s="100" t="s">
        <v>61</v>
      </c>
      <c r="O6" s="97" t="s">
        <v>137</v>
      </c>
      <c r="P6" s="100" t="s">
        <v>61</v>
      </c>
      <c r="Q6" s="100" t="s">
        <v>61</v>
      </c>
      <c r="R6" s="101" t="s">
        <v>61</v>
      </c>
      <c r="S6" s="101" t="s">
        <v>61</v>
      </c>
      <c r="T6" s="105" t="s">
        <v>137</v>
      </c>
      <c r="U6" s="101" t="s">
        <v>61</v>
      </c>
      <c r="V6" s="101" t="s">
        <v>61</v>
      </c>
      <c r="W6" s="101" t="s">
        <v>61</v>
      </c>
      <c r="X6" s="101" t="s">
        <v>61</v>
      </c>
      <c r="Y6" s="101" t="s">
        <v>61</v>
      </c>
      <c r="Z6" s="101" t="s">
        <v>61</v>
      </c>
      <c r="AA6" s="97" t="s">
        <v>137</v>
      </c>
      <c r="AB6" s="97" t="s">
        <v>61</v>
      </c>
      <c r="AC6" s="97" t="s">
        <v>61</v>
      </c>
      <c r="AD6" s="97" t="s">
        <v>61</v>
      </c>
      <c r="AE6" s="97" t="s">
        <v>61</v>
      </c>
      <c r="AF6" s="97" t="s">
        <v>61</v>
      </c>
      <c r="AG6" s="97" t="s">
        <v>61</v>
      </c>
      <c r="AH6" s="97" t="s">
        <v>137</v>
      </c>
      <c r="AI6" s="97" t="s">
        <v>61</v>
      </c>
      <c r="AJ6" s="97" t="s">
        <v>61</v>
      </c>
      <c r="AK6" s="97" t="s">
        <v>61</v>
      </c>
      <c r="AL6" s="97" t="s">
        <v>61</v>
      </c>
      <c r="AM6" s="97" t="s">
        <v>61</v>
      </c>
      <c r="AN6" s="97" t="s">
        <v>61</v>
      </c>
      <c r="AO6" s="97" t="s">
        <v>61</v>
      </c>
      <c r="AP6" s="97" t="s">
        <v>61</v>
      </c>
      <c r="AQ6" s="97" t="s">
        <v>61</v>
      </c>
      <c r="AR6" s="97" t="s">
        <v>61</v>
      </c>
      <c r="AS6" s="97" t="s">
        <v>61</v>
      </c>
      <c r="AT6" s="97" t="s">
        <v>61</v>
      </c>
      <c r="AU6" s="97" t="s">
        <v>61</v>
      </c>
      <c r="AV6" s="97" t="s">
        <v>61</v>
      </c>
      <c r="AW6" s="97" t="s">
        <v>61</v>
      </c>
      <c r="AX6" t="s">
        <v>61</v>
      </c>
      <c r="AY6" s="97" t="s">
        <v>61</v>
      </c>
      <c r="AZ6" s="97" t="s">
        <v>61</v>
      </c>
      <c r="BA6" s="97" t="s">
        <v>61</v>
      </c>
      <c r="BB6" s="97" t="s">
        <v>61</v>
      </c>
      <c r="BC6" s="97" t="s">
        <v>61</v>
      </c>
      <c r="BD6" s="97" t="s">
        <v>61</v>
      </c>
      <c r="BE6" s="97" t="s">
        <v>61</v>
      </c>
      <c r="BF6" s="97" t="s">
        <v>61</v>
      </c>
      <c r="BG6" s="97" t="s">
        <v>61</v>
      </c>
      <c r="BH6" s="97" t="s">
        <v>61</v>
      </c>
      <c r="BI6" s="97" t="s">
        <v>61</v>
      </c>
      <c r="BJ6" s="97" t="s">
        <v>61</v>
      </c>
      <c r="BK6" s="97" t="s">
        <v>137</v>
      </c>
      <c r="BL6" s="97" t="s">
        <v>61</v>
      </c>
      <c r="BM6" s="97" t="s">
        <v>61</v>
      </c>
      <c r="BN6" s="97" t="s">
        <v>61</v>
      </c>
      <c r="BO6" s="97" t="s">
        <v>61</v>
      </c>
      <c r="BP6" s="97" t="s">
        <v>61</v>
      </c>
      <c r="BQ6" s="97" t="s">
        <v>61</v>
      </c>
      <c r="BR6" s="97" t="s">
        <v>61</v>
      </c>
      <c r="BS6" s="97" t="s">
        <v>61</v>
      </c>
      <c r="BT6" s="97" t="s">
        <v>61</v>
      </c>
      <c r="BU6" s="97" t="s">
        <v>61</v>
      </c>
      <c r="BV6" t="s">
        <v>61</v>
      </c>
      <c r="BW6" t="s">
        <v>61</v>
      </c>
      <c r="BX6" s="97" t="s">
        <v>137</v>
      </c>
      <c r="BY6" s="97" t="s">
        <v>137</v>
      </c>
      <c r="BZ6" t="s">
        <v>61</v>
      </c>
      <c r="CA6" s="97" t="s">
        <v>137</v>
      </c>
      <c r="CB6" t="s">
        <v>61</v>
      </c>
      <c r="CC6" t="s">
        <v>61</v>
      </c>
      <c r="CD6" t="s">
        <v>61</v>
      </c>
      <c r="CE6" t="s">
        <v>61</v>
      </c>
      <c r="CF6" s="97" t="s">
        <v>137</v>
      </c>
      <c r="CG6" t="s">
        <v>61</v>
      </c>
      <c r="CH6" t="s">
        <v>61</v>
      </c>
      <c r="CI6" t="s">
        <v>61</v>
      </c>
      <c r="CJ6" t="s">
        <v>61</v>
      </c>
      <c r="CK6" t="s">
        <v>61</v>
      </c>
      <c r="CL6" t="s">
        <v>61</v>
      </c>
      <c r="CM6" t="s">
        <v>61</v>
      </c>
    </row>
    <row r="7" spans="1:91" ht="30" x14ac:dyDescent="0.25">
      <c r="A7" s="345"/>
      <c r="B7" s="98" t="s">
        <v>24</v>
      </c>
      <c r="C7" s="99" t="s">
        <v>10</v>
      </c>
      <c r="D7" s="434" t="s">
        <v>393</v>
      </c>
      <c r="E7" s="98"/>
      <c r="F7" s="98"/>
      <c r="G7" s="98"/>
      <c r="H7" s="98"/>
      <c r="I7" s="98"/>
      <c r="J7" s="98"/>
      <c r="K7" s="98"/>
      <c r="L7" s="98"/>
      <c r="M7" s="98"/>
      <c r="N7" s="100"/>
      <c r="O7" s="100"/>
      <c r="P7" s="100"/>
      <c r="Q7" s="100"/>
      <c r="R7" s="101"/>
      <c r="S7" s="96"/>
      <c r="T7" s="101"/>
      <c r="U7" s="101"/>
      <c r="V7" s="101"/>
      <c r="W7" s="101"/>
      <c r="X7" s="101"/>
      <c r="Y7" s="101"/>
      <c r="Z7" s="101"/>
      <c r="AA7" s="97"/>
      <c r="AB7" s="97"/>
      <c r="AC7" s="97"/>
      <c r="AD7" s="97"/>
      <c r="AE7" s="97"/>
      <c r="AF7" s="97"/>
      <c r="AG7" s="97"/>
      <c r="AH7" s="97"/>
      <c r="AI7" s="97"/>
      <c r="AJ7" s="97"/>
      <c r="AK7" s="97"/>
      <c r="AL7" s="97"/>
      <c r="AM7" s="97"/>
      <c r="AN7" s="97"/>
      <c r="AO7" s="97"/>
      <c r="AP7" s="97"/>
      <c r="AQ7" s="97"/>
      <c r="AR7" s="97"/>
      <c r="AS7" s="97"/>
      <c r="AT7" s="97"/>
      <c r="AU7" s="97"/>
      <c r="AV7" s="97"/>
      <c r="AW7" s="97"/>
      <c r="AY7" s="97"/>
      <c r="AZ7" s="97"/>
      <c r="BA7" s="97"/>
      <c r="BB7" s="97"/>
      <c r="BC7" s="97"/>
      <c r="BD7" s="97"/>
      <c r="BE7" s="97"/>
      <c r="BF7" s="97"/>
      <c r="BG7" s="97"/>
      <c r="BH7" s="97"/>
      <c r="BI7" s="97"/>
      <c r="BJ7" s="97"/>
      <c r="BK7" s="97"/>
      <c r="BL7" s="97"/>
      <c r="BM7" s="97"/>
      <c r="BN7" s="97"/>
      <c r="BO7" s="97"/>
      <c r="BP7" s="97"/>
      <c r="BQ7" s="97"/>
      <c r="BR7" s="97"/>
      <c r="BS7" s="97"/>
      <c r="BT7" s="97"/>
      <c r="BU7" s="97"/>
      <c r="CA7" s="165"/>
      <c r="CE7" s="165"/>
      <c r="CG7" s="165"/>
      <c r="CI7" s="165"/>
    </row>
    <row r="8" spans="1:91" s="2" customFormat="1" x14ac:dyDescent="0.25">
      <c r="A8" s="345"/>
      <c r="B8" s="99" t="s">
        <v>25</v>
      </c>
      <c r="C8" s="99" t="s">
        <v>10</v>
      </c>
      <c r="D8" s="99" t="s">
        <v>1</v>
      </c>
      <c r="E8" s="99" t="s">
        <v>1</v>
      </c>
      <c r="F8" s="99" t="s">
        <v>1</v>
      </c>
      <c r="G8" s="99" t="s">
        <v>1</v>
      </c>
      <c r="H8" s="99" t="s">
        <v>1</v>
      </c>
      <c r="I8" s="99" t="s">
        <v>68</v>
      </c>
      <c r="J8" s="99" t="s">
        <v>69</v>
      </c>
      <c r="K8" s="99" t="s">
        <v>69</v>
      </c>
      <c r="L8" s="99" t="s">
        <v>71</v>
      </c>
      <c r="M8" s="99" t="s">
        <v>1</v>
      </c>
      <c r="N8" s="100" t="s">
        <v>1</v>
      </c>
      <c r="O8" s="100" t="s">
        <v>1</v>
      </c>
      <c r="P8" s="100" t="s">
        <v>1</v>
      </c>
      <c r="Q8" s="100" t="s">
        <v>1</v>
      </c>
      <c r="R8" s="101" t="s">
        <v>69</v>
      </c>
      <c r="S8" s="101" t="s">
        <v>1</v>
      </c>
      <c r="T8" s="102"/>
      <c r="U8" s="101" t="s">
        <v>1</v>
      </c>
      <c r="V8" s="101" t="s">
        <v>69</v>
      </c>
      <c r="W8" s="101" t="s">
        <v>1</v>
      </c>
      <c r="X8" s="101" t="s">
        <v>68</v>
      </c>
      <c r="Y8" s="101" t="s">
        <v>1</v>
      </c>
      <c r="Z8" s="101" t="s">
        <v>68</v>
      </c>
      <c r="AA8" s="97" t="s">
        <v>1</v>
      </c>
      <c r="AB8" s="97" t="s">
        <v>1</v>
      </c>
      <c r="AC8" s="97" t="s">
        <v>69</v>
      </c>
      <c r="AD8" s="97" t="s">
        <v>1</v>
      </c>
      <c r="AE8" s="97" t="s">
        <v>1</v>
      </c>
      <c r="AF8" s="97" t="s">
        <v>1</v>
      </c>
      <c r="AG8" s="97" t="s">
        <v>1</v>
      </c>
      <c r="AH8" s="97" t="s">
        <v>1</v>
      </c>
      <c r="AI8" s="97" t="s">
        <v>1</v>
      </c>
      <c r="AJ8" s="97" t="s">
        <v>1</v>
      </c>
      <c r="AK8" s="97"/>
      <c r="AL8" s="97" t="s">
        <v>68</v>
      </c>
      <c r="AM8" s="97" t="s">
        <v>1</v>
      </c>
      <c r="AN8" s="97" t="s">
        <v>1</v>
      </c>
      <c r="AO8" s="97" t="s">
        <v>69</v>
      </c>
      <c r="AP8" s="97" t="s">
        <v>1</v>
      </c>
      <c r="AQ8" s="97" t="s">
        <v>69</v>
      </c>
      <c r="AR8" s="97" t="s">
        <v>1</v>
      </c>
      <c r="AS8" s="97" t="s">
        <v>1</v>
      </c>
      <c r="AT8" s="97" t="s">
        <v>68</v>
      </c>
      <c r="AU8" s="97" t="s">
        <v>1</v>
      </c>
      <c r="AV8" s="97" t="s">
        <v>69</v>
      </c>
      <c r="AW8" s="97" t="s">
        <v>1</v>
      </c>
      <c r="AX8" t="s">
        <v>1</v>
      </c>
      <c r="AY8" s="97" t="s">
        <v>1</v>
      </c>
      <c r="AZ8" s="97" t="s">
        <v>1</v>
      </c>
      <c r="BA8" s="97" t="s">
        <v>1</v>
      </c>
      <c r="BB8" s="97" t="s">
        <v>69</v>
      </c>
      <c r="BC8" s="97" t="s">
        <v>1</v>
      </c>
      <c r="BD8" s="97" t="s">
        <v>1</v>
      </c>
      <c r="BE8" s="97" t="s">
        <v>68</v>
      </c>
      <c r="BF8" s="97" t="s">
        <v>68</v>
      </c>
      <c r="BG8" s="97" t="s">
        <v>71</v>
      </c>
      <c r="BH8" s="97" t="s">
        <v>69</v>
      </c>
      <c r="BI8" s="97" t="s">
        <v>1</v>
      </c>
      <c r="BJ8" s="97" t="s">
        <v>1</v>
      </c>
      <c r="BK8" s="97" t="s">
        <v>1</v>
      </c>
      <c r="BL8" s="97" t="s">
        <v>1</v>
      </c>
      <c r="BM8" s="97" t="s">
        <v>1</v>
      </c>
      <c r="BN8" s="97" t="s">
        <v>1</v>
      </c>
      <c r="BO8" s="97" t="s">
        <v>1</v>
      </c>
      <c r="BP8" s="97" t="s">
        <v>68</v>
      </c>
      <c r="BQ8" s="97" t="s">
        <v>1</v>
      </c>
      <c r="BR8" s="97" t="s">
        <v>1</v>
      </c>
      <c r="BS8" s="97" t="s">
        <v>1</v>
      </c>
      <c r="BT8" s="97" t="s">
        <v>1</v>
      </c>
      <c r="BU8" s="97" t="s">
        <v>1</v>
      </c>
      <c r="BV8" t="s">
        <v>69</v>
      </c>
      <c r="BW8" t="s">
        <v>1</v>
      </c>
      <c r="BX8" t="s">
        <v>1</v>
      </c>
      <c r="BY8" t="s">
        <v>1</v>
      </c>
      <c r="BZ8" t="s">
        <v>69</v>
      </c>
      <c r="CA8" t="s">
        <v>1</v>
      </c>
      <c r="CB8" t="s">
        <v>69</v>
      </c>
      <c r="CC8" t="s">
        <v>1</v>
      </c>
      <c r="CD8" t="s">
        <v>1</v>
      </c>
      <c r="CE8" t="s">
        <v>1</v>
      </c>
      <c r="CF8" t="s">
        <v>69</v>
      </c>
      <c r="CG8" t="s">
        <v>1</v>
      </c>
      <c r="CH8" t="s">
        <v>313</v>
      </c>
      <c r="CI8" t="s">
        <v>69</v>
      </c>
      <c r="CJ8" t="s">
        <v>1</v>
      </c>
      <c r="CK8" t="s">
        <v>71</v>
      </c>
      <c r="CL8" t="s">
        <v>1</v>
      </c>
      <c r="CM8" t="s">
        <v>1</v>
      </c>
    </row>
    <row r="9" spans="1:91" s="2" customFormat="1" x14ac:dyDescent="0.25">
      <c r="A9" s="345"/>
      <c r="B9" s="99" t="s">
        <v>26</v>
      </c>
      <c r="C9" s="99" t="s">
        <v>10</v>
      </c>
      <c r="D9" s="99">
        <v>35000</v>
      </c>
      <c r="E9" s="110">
        <v>61000</v>
      </c>
      <c r="F9" s="103">
        <v>14000</v>
      </c>
      <c r="G9" s="99">
        <v>170000</v>
      </c>
      <c r="H9" s="99">
        <v>4750</v>
      </c>
      <c r="I9" s="99">
        <v>118000</v>
      </c>
      <c r="J9" s="110">
        <v>3880</v>
      </c>
      <c r="K9" s="110">
        <v>7000</v>
      </c>
      <c r="L9" s="99">
        <v>2400</v>
      </c>
      <c r="M9" s="110">
        <v>7764</v>
      </c>
      <c r="N9" s="100">
        <v>3450</v>
      </c>
      <c r="O9" s="100">
        <v>6000</v>
      </c>
      <c r="P9" s="100">
        <v>223200</v>
      </c>
      <c r="Q9" s="110">
        <v>45000</v>
      </c>
      <c r="R9" s="101">
        <v>16000</v>
      </c>
      <c r="S9" s="101">
        <v>1000</v>
      </c>
      <c r="T9" s="110">
        <v>7000</v>
      </c>
      <c r="U9" s="101">
        <v>2500</v>
      </c>
      <c r="V9" s="101">
        <v>20000</v>
      </c>
      <c r="W9" s="101">
        <v>29568</v>
      </c>
      <c r="X9" s="101">
        <v>10000</v>
      </c>
      <c r="Y9" s="110">
        <v>566670</v>
      </c>
      <c r="Z9" s="101">
        <v>500000</v>
      </c>
      <c r="AA9" s="110">
        <v>3600</v>
      </c>
      <c r="AB9" s="97">
        <v>11579</v>
      </c>
      <c r="AC9" s="97">
        <v>3821</v>
      </c>
      <c r="AD9" s="97">
        <v>3328</v>
      </c>
      <c r="AE9" s="97">
        <v>268000</v>
      </c>
      <c r="AF9" s="110">
        <v>121200</v>
      </c>
      <c r="AG9" s="104">
        <v>524000</v>
      </c>
      <c r="AH9" s="110">
        <v>3200</v>
      </c>
      <c r="AI9" s="97">
        <v>300</v>
      </c>
      <c r="AJ9" s="110">
        <v>143220</v>
      </c>
      <c r="AK9" s="97">
        <v>750000</v>
      </c>
      <c r="AL9" s="97">
        <v>18500</v>
      </c>
      <c r="AM9" s="97">
        <v>54000</v>
      </c>
      <c r="AN9" s="97">
        <v>2850</v>
      </c>
      <c r="AO9" s="97">
        <v>3225</v>
      </c>
      <c r="AP9" s="97">
        <v>9800</v>
      </c>
      <c r="AQ9" s="110">
        <v>27958</v>
      </c>
      <c r="AR9" s="97">
        <v>738038</v>
      </c>
      <c r="AS9" s="97">
        <v>11000</v>
      </c>
      <c r="AT9" s="110">
        <v>153395</v>
      </c>
      <c r="AU9" s="97">
        <v>688202</v>
      </c>
      <c r="AV9" s="97">
        <v>4000</v>
      </c>
      <c r="AW9" s="97">
        <v>9200</v>
      </c>
      <c r="AX9" s="110">
        <v>380489</v>
      </c>
      <c r="AY9" s="97">
        <v>22000</v>
      </c>
      <c r="AZ9" s="97">
        <v>474000</v>
      </c>
      <c r="BA9" s="97">
        <v>50000</v>
      </c>
      <c r="BB9" s="97"/>
      <c r="BC9" s="97">
        <v>50000</v>
      </c>
      <c r="BD9" s="97">
        <v>50000</v>
      </c>
      <c r="BE9" s="97">
        <v>750000</v>
      </c>
      <c r="BF9" s="97">
        <v>750000</v>
      </c>
      <c r="BG9" s="97">
        <v>4900</v>
      </c>
      <c r="BH9" s="110">
        <v>6050</v>
      </c>
      <c r="BI9" s="97">
        <v>5200</v>
      </c>
      <c r="BJ9" s="97">
        <v>2750</v>
      </c>
      <c r="BK9" s="97">
        <v>3000</v>
      </c>
      <c r="BL9" s="104">
        <v>117000</v>
      </c>
      <c r="BM9" s="104">
        <v>12220</v>
      </c>
      <c r="BN9" s="97">
        <v>4800</v>
      </c>
      <c r="BO9" s="97">
        <v>8000</v>
      </c>
      <c r="BP9" s="104">
        <v>928300</v>
      </c>
      <c r="BQ9" s="97">
        <v>825000</v>
      </c>
      <c r="BR9" s="97">
        <v>800</v>
      </c>
      <c r="BS9" s="110">
        <v>25792</v>
      </c>
      <c r="BT9" s="239"/>
      <c r="BU9" s="97">
        <v>320964</v>
      </c>
      <c r="BV9">
        <v>10520</v>
      </c>
      <c r="BW9">
        <v>15000</v>
      </c>
      <c r="BX9">
        <v>8860</v>
      </c>
      <c r="BY9">
        <v>7021</v>
      </c>
      <c r="BZ9">
        <v>40000</v>
      </c>
      <c r="CA9">
        <v>5000</v>
      </c>
      <c r="CB9">
        <v>3000</v>
      </c>
      <c r="CC9">
        <v>15000</v>
      </c>
      <c r="CD9" s="110">
        <v>154000</v>
      </c>
      <c r="CE9">
        <v>245000</v>
      </c>
      <c r="CF9">
        <v>3631</v>
      </c>
      <c r="CG9">
        <v>38900</v>
      </c>
      <c r="CH9">
        <v>11000</v>
      </c>
      <c r="CI9" s="110">
        <v>33000</v>
      </c>
      <c r="CJ9" s="110">
        <v>3000</v>
      </c>
      <c r="CK9">
        <v>1800</v>
      </c>
      <c r="CL9" s="110">
        <v>20000</v>
      </c>
      <c r="CM9">
        <v>6935</v>
      </c>
    </row>
    <row r="10" spans="1:91" x14ac:dyDescent="0.25">
      <c r="A10" s="345"/>
      <c r="B10" s="98" t="s">
        <v>27</v>
      </c>
      <c r="C10" s="98" t="s">
        <v>3</v>
      </c>
      <c r="D10" s="98">
        <f>44/60</f>
        <v>0.73333333333333328</v>
      </c>
      <c r="E10" s="98">
        <v>1.333</v>
      </c>
      <c r="F10" s="98">
        <v>4</v>
      </c>
      <c r="G10" s="98">
        <v>0.98299999999999998</v>
      </c>
      <c r="H10" s="98">
        <v>0.66700000000000004</v>
      </c>
      <c r="I10" s="98">
        <f>42/60</f>
        <v>0.7</v>
      </c>
      <c r="J10" s="98">
        <f>58/60</f>
        <v>0.96666666666666667</v>
      </c>
      <c r="K10" s="98">
        <v>0.78300000000000003</v>
      </c>
      <c r="L10" s="98">
        <v>0.61599999999999999</v>
      </c>
      <c r="M10" s="98">
        <v>1</v>
      </c>
      <c r="N10" s="100">
        <v>1.367</v>
      </c>
      <c r="O10" s="100">
        <v>0.98299999999999998</v>
      </c>
      <c r="P10" s="100">
        <v>1</v>
      </c>
      <c r="Q10" s="100">
        <v>0.83299999999999996</v>
      </c>
      <c r="R10" s="101">
        <v>0.9</v>
      </c>
      <c r="S10" s="101">
        <v>0.66</v>
      </c>
      <c r="T10" s="101">
        <v>1.1000000000000001</v>
      </c>
      <c r="U10" s="101">
        <v>1.7330000000000001</v>
      </c>
      <c r="V10" s="101">
        <v>1.617</v>
      </c>
      <c r="W10" s="101">
        <v>0.53300000000000003</v>
      </c>
      <c r="X10" s="101">
        <v>0.78300000000000003</v>
      </c>
      <c r="Y10" s="101">
        <v>0.66700000000000004</v>
      </c>
      <c r="Z10" s="101">
        <v>0.99</v>
      </c>
      <c r="AA10" s="97">
        <v>0.78300000000000003</v>
      </c>
      <c r="AB10" s="97">
        <v>0.95</v>
      </c>
      <c r="AC10" s="97">
        <v>0.17299999999999999</v>
      </c>
      <c r="AD10" s="97">
        <v>0.85799999999999998</v>
      </c>
      <c r="AE10" s="97">
        <v>0.65500000000000003</v>
      </c>
      <c r="AF10" s="97">
        <v>1.367</v>
      </c>
      <c r="AG10" s="97">
        <v>1.0832999999999999</v>
      </c>
      <c r="AH10" s="97">
        <v>0.8</v>
      </c>
      <c r="AI10" s="97">
        <v>1.5669999999999999</v>
      </c>
      <c r="AJ10" s="97">
        <v>0.66700000000000004</v>
      </c>
      <c r="AK10" s="97">
        <v>1.167</v>
      </c>
      <c r="AL10" s="97">
        <v>1.583</v>
      </c>
      <c r="AM10" s="97">
        <v>1.1000000000000001</v>
      </c>
      <c r="AN10" s="97">
        <v>4.3330000000000002</v>
      </c>
      <c r="AO10" s="97">
        <v>2.9670000000000001</v>
      </c>
      <c r="AP10" s="97">
        <v>1.2330000000000001</v>
      </c>
      <c r="AQ10" s="97">
        <v>0.61699999999999999</v>
      </c>
      <c r="AR10" s="97">
        <v>1.1499999999999999</v>
      </c>
      <c r="AS10" s="97">
        <v>0.56499999999999995</v>
      </c>
      <c r="AT10" s="97">
        <v>0.66700000000000004</v>
      </c>
      <c r="AU10" s="97">
        <v>2.9329999999999998</v>
      </c>
      <c r="AV10" s="97">
        <v>5.181</v>
      </c>
      <c r="AW10" s="97">
        <v>1.25</v>
      </c>
      <c r="AX10">
        <v>1.167</v>
      </c>
      <c r="AY10" s="97">
        <v>1.9330000000000001</v>
      </c>
      <c r="AZ10" s="97">
        <v>0.41699999999999998</v>
      </c>
      <c r="BA10" s="97">
        <v>0.81699999999999995</v>
      </c>
      <c r="BB10" s="97">
        <v>14.5</v>
      </c>
      <c r="BC10" s="97">
        <v>0.9</v>
      </c>
      <c r="BD10" s="97">
        <v>1.0832999999999999</v>
      </c>
      <c r="BE10" s="97">
        <v>1.333</v>
      </c>
      <c r="BF10" s="97">
        <v>1.667</v>
      </c>
      <c r="BG10" s="97">
        <v>3.1709999999999998</v>
      </c>
      <c r="BH10" s="97">
        <v>1.6</v>
      </c>
      <c r="BI10" s="97">
        <v>1.7749999999999999</v>
      </c>
      <c r="BJ10" s="97">
        <v>0.83299999999999996</v>
      </c>
      <c r="BK10" s="97">
        <v>0.66700000000000004</v>
      </c>
      <c r="BL10" s="97">
        <v>2.851</v>
      </c>
      <c r="BM10" s="97">
        <v>1.6</v>
      </c>
      <c r="BN10" s="97">
        <v>1.383</v>
      </c>
      <c r="BO10" s="97">
        <v>1.7669999999999999</v>
      </c>
      <c r="BP10" s="97">
        <v>4.37</v>
      </c>
      <c r="BQ10" s="97">
        <v>0.58299999999999996</v>
      </c>
      <c r="BR10" s="97">
        <v>1.2330000000000001</v>
      </c>
      <c r="BS10" s="97">
        <v>0.81299999999999994</v>
      </c>
      <c r="BT10" s="97">
        <v>0.41699999999999998</v>
      </c>
      <c r="BU10" s="97">
        <v>1.35</v>
      </c>
      <c r="BV10">
        <v>3.117</v>
      </c>
      <c r="BW10">
        <v>1.5329999999999999</v>
      </c>
      <c r="BX10">
        <v>0.98299999999999998</v>
      </c>
      <c r="BY10">
        <v>1.117</v>
      </c>
      <c r="BZ10">
        <v>2.8</v>
      </c>
      <c r="CA10">
        <v>1.117</v>
      </c>
      <c r="CB10">
        <v>2.4670000000000001</v>
      </c>
      <c r="CC10">
        <v>1.45</v>
      </c>
      <c r="CD10">
        <v>1.0667</v>
      </c>
      <c r="CE10">
        <v>0.66700000000000004</v>
      </c>
      <c r="CF10">
        <v>1.4670000000000001</v>
      </c>
      <c r="CG10">
        <v>2.75</v>
      </c>
      <c r="CH10">
        <v>2.3330000000000002</v>
      </c>
      <c r="CI10">
        <v>3.15</v>
      </c>
      <c r="CJ10">
        <v>1.2170000000000001</v>
      </c>
      <c r="CK10">
        <v>0.5</v>
      </c>
      <c r="CL10">
        <v>0.96699999999999997</v>
      </c>
      <c r="CM10">
        <v>1.2330000000000001</v>
      </c>
    </row>
    <row r="11" spans="1:91" x14ac:dyDescent="0.25">
      <c r="A11" s="345"/>
      <c r="B11" s="98" t="s">
        <v>28</v>
      </c>
      <c r="C11" s="98" t="s">
        <v>3</v>
      </c>
      <c r="D11" s="98">
        <f>1+20/60</f>
        <v>1.3333333333333333</v>
      </c>
      <c r="E11" s="98">
        <v>1.917</v>
      </c>
      <c r="F11" s="98">
        <f>5+14/60</f>
        <v>5.2333333333333334</v>
      </c>
      <c r="G11" s="98">
        <v>1.25</v>
      </c>
      <c r="H11" s="98">
        <v>0.91700000000000004</v>
      </c>
      <c r="I11" s="98">
        <f>1+18/60</f>
        <v>1.3</v>
      </c>
      <c r="J11" s="98">
        <f>1+25/60</f>
        <v>1.4166666666666667</v>
      </c>
      <c r="K11" s="98">
        <v>1.1499999999999999</v>
      </c>
      <c r="L11" s="98">
        <v>0.73599999999999999</v>
      </c>
      <c r="M11" s="98">
        <v>1.45</v>
      </c>
      <c r="N11" s="100">
        <v>3.5830000000000002</v>
      </c>
      <c r="O11" s="100">
        <v>1.25</v>
      </c>
      <c r="P11" s="100">
        <v>1.75</v>
      </c>
      <c r="Q11" s="100">
        <v>1.1499999999999999</v>
      </c>
      <c r="R11" s="101">
        <v>1.0166999999999999</v>
      </c>
      <c r="S11" s="101">
        <v>0.77600000000000002</v>
      </c>
      <c r="T11" s="101">
        <v>2.2000000000000002</v>
      </c>
      <c r="U11" s="101">
        <v>1.9330000000000001</v>
      </c>
      <c r="V11" s="101">
        <v>2.7829999999999999</v>
      </c>
      <c r="W11" s="101">
        <v>0.75</v>
      </c>
      <c r="X11" s="101">
        <v>1.2829999999999999</v>
      </c>
      <c r="Y11" s="101">
        <v>0.76700000000000002</v>
      </c>
      <c r="Z11" s="102">
        <f>Z10</f>
        <v>0.99</v>
      </c>
      <c r="AA11" s="97">
        <v>0.93300000000000005</v>
      </c>
      <c r="AB11" s="97">
        <v>1.2170000000000001</v>
      </c>
      <c r="AC11" s="97">
        <v>0.56499999999999995</v>
      </c>
      <c r="AD11" s="97">
        <v>1.0660000000000001</v>
      </c>
      <c r="AE11" s="97">
        <v>1.115</v>
      </c>
      <c r="AF11" s="104">
        <f>AF10</f>
        <v>1.367</v>
      </c>
      <c r="AG11" s="97">
        <v>1.2669999999999999</v>
      </c>
      <c r="AH11" s="97">
        <v>1.4670000000000001</v>
      </c>
      <c r="AI11" s="97">
        <v>1.9330000000000001</v>
      </c>
      <c r="AJ11" s="97">
        <v>1.0333000000000001</v>
      </c>
      <c r="AK11" s="97">
        <v>1.5</v>
      </c>
      <c r="AL11" s="97">
        <v>1.95</v>
      </c>
      <c r="AM11" s="97">
        <v>1.333</v>
      </c>
      <c r="AN11" s="97">
        <v>4.75</v>
      </c>
      <c r="AO11" s="97">
        <v>3.1669999999999998</v>
      </c>
      <c r="AP11" s="97">
        <v>1.45</v>
      </c>
      <c r="AQ11" s="97">
        <v>1.0832999999999999</v>
      </c>
      <c r="AR11" s="97">
        <v>1.45</v>
      </c>
      <c r="AS11" s="97">
        <v>0.64700000000000002</v>
      </c>
      <c r="AT11" s="97">
        <v>0.86699999999999999</v>
      </c>
      <c r="AU11" s="97">
        <v>3.2170000000000001</v>
      </c>
      <c r="AV11" s="97">
        <v>5.1959999999999997</v>
      </c>
      <c r="AW11" s="97">
        <v>1.75</v>
      </c>
      <c r="AX11">
        <v>1.833</v>
      </c>
      <c r="AY11" s="97">
        <v>2.2330000000000001</v>
      </c>
      <c r="AZ11" s="97">
        <v>0.5</v>
      </c>
      <c r="BA11" s="97">
        <v>1.383</v>
      </c>
      <c r="BB11" s="97">
        <v>15</v>
      </c>
      <c r="BC11" s="97">
        <v>1.55</v>
      </c>
      <c r="BD11" s="97">
        <v>1.5169999999999999</v>
      </c>
      <c r="BE11" s="97">
        <v>1.5</v>
      </c>
      <c r="BF11" s="97">
        <v>1.917</v>
      </c>
      <c r="BG11" s="97">
        <v>3.8719999999999999</v>
      </c>
      <c r="BH11" s="97">
        <v>2.1</v>
      </c>
      <c r="BI11" s="97">
        <v>1.9690000000000001</v>
      </c>
      <c r="BJ11" s="97">
        <v>1.1830000000000001</v>
      </c>
      <c r="BK11" s="97">
        <v>0.8</v>
      </c>
      <c r="BL11" s="97">
        <v>3.0347</v>
      </c>
      <c r="BM11" s="97">
        <v>2.25</v>
      </c>
      <c r="BN11" s="97">
        <v>1.5369999999999999</v>
      </c>
      <c r="BO11" s="97">
        <v>2.1669999999999998</v>
      </c>
      <c r="BP11" s="97">
        <v>5.9020000000000001</v>
      </c>
      <c r="BQ11" s="97">
        <v>0.83299999999999996</v>
      </c>
      <c r="BR11" s="97">
        <v>1.4830000000000001</v>
      </c>
      <c r="BS11" s="97">
        <v>1.36</v>
      </c>
      <c r="BT11" s="97">
        <v>0.73299999999999998</v>
      </c>
      <c r="BU11" s="97">
        <v>1.633</v>
      </c>
      <c r="BV11">
        <v>3.367</v>
      </c>
      <c r="BW11">
        <v>1.6</v>
      </c>
      <c r="BX11">
        <v>1.3169999999999999</v>
      </c>
      <c r="BY11">
        <v>1.35</v>
      </c>
      <c r="BZ11">
        <v>3.0333000000000001</v>
      </c>
      <c r="CA11">
        <v>1.35</v>
      </c>
      <c r="CB11">
        <v>3.2170000000000001</v>
      </c>
      <c r="CC11">
        <v>2.2669999999999999</v>
      </c>
      <c r="CD11">
        <v>1.167</v>
      </c>
      <c r="CE11">
        <v>1.0166999999999999</v>
      </c>
      <c r="CF11">
        <v>1.667</v>
      </c>
      <c r="CG11">
        <v>3.3170000000000002</v>
      </c>
      <c r="CH11">
        <v>3.117</v>
      </c>
      <c r="CI11">
        <v>3.65</v>
      </c>
      <c r="CJ11">
        <v>1.4</v>
      </c>
      <c r="CK11">
        <v>0.7</v>
      </c>
      <c r="CL11">
        <v>1.258</v>
      </c>
      <c r="CM11">
        <v>1.4330000000000001</v>
      </c>
    </row>
    <row r="12" spans="1:91" x14ac:dyDescent="0.25">
      <c r="A12" s="345"/>
      <c r="B12" s="98" t="s">
        <v>29</v>
      </c>
      <c r="C12" s="98" t="s">
        <v>3</v>
      </c>
      <c r="D12" s="98">
        <f>1+33/60</f>
        <v>1.55</v>
      </c>
      <c r="E12" s="98">
        <v>3.2829999999999999</v>
      </c>
      <c r="F12" s="98">
        <f>6+19/60</f>
        <v>6.3166666666666664</v>
      </c>
      <c r="G12" s="98">
        <v>1.917</v>
      </c>
      <c r="H12" s="98">
        <v>1.167</v>
      </c>
      <c r="I12" s="98">
        <f>2+5/60</f>
        <v>2.0833333333333335</v>
      </c>
      <c r="J12" s="98">
        <f>3+6/60</f>
        <v>3.1</v>
      </c>
      <c r="K12" s="98">
        <v>2.0830000000000002</v>
      </c>
      <c r="L12" s="98">
        <v>1.0245</v>
      </c>
      <c r="M12" s="98">
        <v>4.0670000000000002</v>
      </c>
      <c r="N12" s="105">
        <v>11.667</v>
      </c>
      <c r="O12" s="100">
        <v>2.5830000000000002</v>
      </c>
      <c r="P12" s="100">
        <v>2.7669999999999999</v>
      </c>
      <c r="Q12" s="100">
        <v>2.617</v>
      </c>
      <c r="R12" s="101">
        <v>1.917</v>
      </c>
      <c r="S12" s="101">
        <v>1.401</v>
      </c>
      <c r="T12" s="101">
        <v>6.05</v>
      </c>
      <c r="U12" s="101">
        <v>2.8</v>
      </c>
      <c r="V12" s="101">
        <v>6.3330000000000002</v>
      </c>
      <c r="W12" s="101">
        <v>0.96699999999999997</v>
      </c>
      <c r="X12" s="101">
        <v>1.8169999999999999</v>
      </c>
      <c r="Y12" s="101">
        <v>1.35</v>
      </c>
      <c r="Z12" s="101">
        <v>1.8080000000000001</v>
      </c>
      <c r="AA12" s="97">
        <v>1.333</v>
      </c>
      <c r="AB12" s="97">
        <v>2.65</v>
      </c>
      <c r="AC12" s="97">
        <v>1.4019999999999999</v>
      </c>
      <c r="AD12" s="97">
        <v>1.8819999999999999</v>
      </c>
      <c r="AE12" s="97">
        <v>1.7669999999999999</v>
      </c>
      <c r="AF12" s="97">
        <v>1.633</v>
      </c>
      <c r="AG12" s="97">
        <v>2.0167000000000002</v>
      </c>
      <c r="AH12" s="97">
        <v>1.8</v>
      </c>
      <c r="AI12" s="97">
        <v>4.3170000000000002</v>
      </c>
      <c r="AJ12" s="97">
        <v>1.75</v>
      </c>
      <c r="AK12" s="97">
        <v>2.6669999999999998</v>
      </c>
      <c r="AL12" s="97">
        <v>3.6669999999999998</v>
      </c>
      <c r="AM12" s="97">
        <v>1.5</v>
      </c>
      <c r="AN12" s="97">
        <v>9.1</v>
      </c>
      <c r="AO12" s="97">
        <v>3.5</v>
      </c>
      <c r="AP12" s="97">
        <v>1.917</v>
      </c>
      <c r="AQ12" s="97">
        <v>1.9670000000000001</v>
      </c>
      <c r="AR12" s="97">
        <v>1.9830000000000001</v>
      </c>
      <c r="AS12" s="97">
        <v>1.19</v>
      </c>
      <c r="AT12" s="97">
        <v>1.65</v>
      </c>
      <c r="AU12" s="97">
        <v>3.9830000000000001</v>
      </c>
      <c r="AV12" s="97">
        <v>6.8890000000000002</v>
      </c>
      <c r="AW12" s="97">
        <v>1.917</v>
      </c>
      <c r="AX12">
        <v>2.4169999999999998</v>
      </c>
      <c r="AY12" s="97">
        <v>3.2330000000000001</v>
      </c>
      <c r="AZ12" s="97">
        <v>1.3</v>
      </c>
      <c r="BA12" s="97">
        <v>2.15</v>
      </c>
      <c r="BB12" s="97">
        <v>16.033300000000001</v>
      </c>
      <c r="BC12" s="97">
        <v>2.4830000000000001</v>
      </c>
      <c r="BD12" s="97">
        <v>2.2330000000000001</v>
      </c>
      <c r="BE12" s="97">
        <v>2.8330000000000002</v>
      </c>
      <c r="BF12" s="97">
        <v>3.25</v>
      </c>
      <c r="BG12" s="97">
        <v>4.9710000000000001</v>
      </c>
      <c r="BH12" s="97">
        <v>2.4500000000000002</v>
      </c>
      <c r="BI12" s="97">
        <v>2.0354999999999999</v>
      </c>
      <c r="BJ12" s="97">
        <v>1.833</v>
      </c>
      <c r="BK12" s="97">
        <v>1.1499999999999999</v>
      </c>
      <c r="BL12" s="97">
        <v>3.2370000000000001</v>
      </c>
      <c r="BM12" s="97">
        <v>2.5329999999999999</v>
      </c>
      <c r="BN12" s="97">
        <v>2.95</v>
      </c>
      <c r="BO12" s="97">
        <v>2.9670000000000001</v>
      </c>
      <c r="BP12" s="97">
        <v>6.3540000000000001</v>
      </c>
      <c r="BQ12" s="97">
        <v>1.417</v>
      </c>
      <c r="BR12" s="97">
        <v>1.9330000000000001</v>
      </c>
      <c r="BS12" s="97">
        <v>1.9430000000000001</v>
      </c>
      <c r="BT12" s="97">
        <v>1.3169999999999999</v>
      </c>
      <c r="BU12" s="97">
        <v>3.4329999999999998</v>
      </c>
      <c r="BV12">
        <v>4.0833000000000004</v>
      </c>
      <c r="BW12">
        <v>3.9</v>
      </c>
      <c r="BX12">
        <v>1.9670000000000001</v>
      </c>
      <c r="BY12">
        <v>1.7829999999999999</v>
      </c>
      <c r="BZ12">
        <v>3.4329999999999998</v>
      </c>
      <c r="CA12">
        <v>1.633</v>
      </c>
      <c r="CB12">
        <v>6.9</v>
      </c>
      <c r="CC12">
        <v>6.2</v>
      </c>
      <c r="CD12">
        <v>1.633</v>
      </c>
      <c r="CE12">
        <v>2.0167000000000002</v>
      </c>
      <c r="CF12">
        <v>2.1669999999999998</v>
      </c>
      <c r="CG12">
        <v>4.1829999999999998</v>
      </c>
      <c r="CH12">
        <v>3.7669999999999999</v>
      </c>
      <c r="CI12">
        <v>4.75</v>
      </c>
      <c r="CJ12">
        <v>1.7170000000000001</v>
      </c>
      <c r="CK12">
        <v>1.333</v>
      </c>
      <c r="CL12">
        <v>1.587</v>
      </c>
      <c r="CM12">
        <v>1.7829999999999999</v>
      </c>
    </row>
    <row r="13" spans="1:91" x14ac:dyDescent="0.25">
      <c r="A13" s="345"/>
      <c r="B13" s="98" t="s">
        <v>30</v>
      </c>
      <c r="C13" s="98" t="s">
        <v>3</v>
      </c>
      <c r="D13" s="98">
        <f>1+56/60</f>
        <v>1.9333333333333333</v>
      </c>
      <c r="E13" s="98">
        <v>4.8330000000000002</v>
      </c>
      <c r="F13" s="98">
        <f>8</f>
        <v>8</v>
      </c>
      <c r="G13" s="98">
        <v>2.9830000000000001</v>
      </c>
      <c r="H13" s="98">
        <v>1.917</v>
      </c>
      <c r="I13" s="98">
        <f>3+16/60</f>
        <v>3.2666666666666666</v>
      </c>
      <c r="J13" s="98">
        <f>4+20/60</f>
        <v>4.333333333333333</v>
      </c>
      <c r="K13" s="103">
        <v>2.0830000000000002</v>
      </c>
      <c r="L13" s="98">
        <v>1.621</v>
      </c>
      <c r="M13" s="98">
        <v>6.5</v>
      </c>
      <c r="N13" s="100">
        <v>12.983000000000001</v>
      </c>
      <c r="O13" s="100">
        <v>2.75</v>
      </c>
      <c r="P13" s="100">
        <v>3.4169999999999998</v>
      </c>
      <c r="Q13" s="100">
        <v>3.117</v>
      </c>
      <c r="R13" s="101">
        <v>2.883</v>
      </c>
      <c r="S13" s="101">
        <v>1.7709999999999999</v>
      </c>
      <c r="T13" s="101">
        <v>7.133</v>
      </c>
      <c r="U13" s="101">
        <v>4.0830000000000002</v>
      </c>
      <c r="V13" s="101">
        <v>8.7170000000000005</v>
      </c>
      <c r="W13" s="102">
        <f>W12</f>
        <v>0.96699999999999997</v>
      </c>
      <c r="X13" s="102">
        <f>X12</f>
        <v>1.8169999999999999</v>
      </c>
      <c r="Y13" s="101">
        <v>2.7330000000000001</v>
      </c>
      <c r="Z13" s="101">
        <v>2.5499999999999998</v>
      </c>
      <c r="AA13" s="97">
        <v>1.75</v>
      </c>
      <c r="AB13" s="97">
        <v>3.3170000000000002</v>
      </c>
      <c r="AC13" s="97">
        <v>2.105</v>
      </c>
      <c r="AD13" s="97">
        <v>2.2050000000000001</v>
      </c>
      <c r="AE13" s="97">
        <v>3.2879999999999998</v>
      </c>
      <c r="AF13" s="97">
        <v>2.1</v>
      </c>
      <c r="AG13" s="97">
        <v>3.6669999999999998</v>
      </c>
      <c r="AH13" s="97">
        <v>2.133</v>
      </c>
      <c r="AI13" s="97">
        <v>6.0667</v>
      </c>
      <c r="AJ13" s="97">
        <v>2.5830000000000002</v>
      </c>
      <c r="AK13" s="97">
        <v>2.9169999999999998</v>
      </c>
      <c r="AL13" s="97">
        <v>4.4000000000000004</v>
      </c>
      <c r="AM13" s="97">
        <v>1.617</v>
      </c>
      <c r="AN13" s="97">
        <v>9.8330000000000002</v>
      </c>
      <c r="AO13" s="97">
        <v>4.8499999999999996</v>
      </c>
      <c r="AP13" s="97">
        <v>2.7</v>
      </c>
      <c r="AQ13" s="97">
        <v>4.383</v>
      </c>
      <c r="AR13" s="97">
        <v>2.8170000000000002</v>
      </c>
      <c r="AS13" s="97">
        <v>2.0112999999999999</v>
      </c>
      <c r="AT13" s="97">
        <v>2.15</v>
      </c>
      <c r="AU13" s="97">
        <v>4.617</v>
      </c>
      <c r="AV13" s="97">
        <v>11.014699999999999</v>
      </c>
      <c r="AW13" s="97">
        <v>2.4169999999999998</v>
      </c>
      <c r="AX13">
        <v>3.6669999999999998</v>
      </c>
      <c r="AY13" s="97">
        <v>5.2329999999999997</v>
      </c>
      <c r="AZ13" s="97">
        <v>1.833</v>
      </c>
      <c r="BA13" s="97">
        <v>3.05</v>
      </c>
      <c r="BB13" s="97">
        <v>16.283000000000001</v>
      </c>
      <c r="BC13" s="97">
        <v>3.9670000000000001</v>
      </c>
      <c r="BD13" s="97">
        <v>2.75</v>
      </c>
      <c r="BE13" s="97">
        <v>3.1669999999999998</v>
      </c>
      <c r="BF13" s="97">
        <v>3.9169999999999998</v>
      </c>
      <c r="BG13" s="97">
        <v>5.5220000000000002</v>
      </c>
      <c r="BH13" s="97">
        <v>3.65</v>
      </c>
      <c r="BI13" s="97">
        <v>3.0979999999999999</v>
      </c>
      <c r="BJ13" s="97">
        <v>1.9670000000000001</v>
      </c>
      <c r="BK13" s="97">
        <v>1.4330000000000001</v>
      </c>
      <c r="BL13" s="97">
        <v>3.3519999999999999</v>
      </c>
      <c r="BM13" s="97">
        <v>3.5670000000000002</v>
      </c>
      <c r="BN13" s="97">
        <v>5.4</v>
      </c>
      <c r="BO13" s="97">
        <v>4.0999999999999996</v>
      </c>
      <c r="BP13" s="97">
        <v>8.3140000000000001</v>
      </c>
      <c r="BQ13" s="97">
        <v>2</v>
      </c>
      <c r="BR13" s="97">
        <v>2.5</v>
      </c>
      <c r="BS13" s="97">
        <v>2.7559999999999998</v>
      </c>
      <c r="BT13" s="104">
        <f>BT12</f>
        <v>1.3169999999999999</v>
      </c>
      <c r="BU13" s="97">
        <v>4.117</v>
      </c>
      <c r="BV13" s="109">
        <f>BV12</f>
        <v>4.0833000000000004</v>
      </c>
      <c r="BW13">
        <v>3.9830000000000001</v>
      </c>
      <c r="BX13">
        <v>3.2829999999999999</v>
      </c>
      <c r="BY13">
        <v>2.5329999999999999</v>
      </c>
      <c r="BZ13">
        <v>6.4169999999999998</v>
      </c>
      <c r="CA13">
        <v>2.383</v>
      </c>
      <c r="CB13">
        <v>8.6829999999999998</v>
      </c>
      <c r="CC13">
        <v>6.9329999999999998</v>
      </c>
      <c r="CD13">
        <v>2.25</v>
      </c>
      <c r="CE13">
        <v>3.0832999999999999</v>
      </c>
      <c r="CF13">
        <v>3.05</v>
      </c>
      <c r="CG13">
        <v>4.95</v>
      </c>
      <c r="CH13">
        <v>4.0332999999999997</v>
      </c>
      <c r="CI13">
        <v>5.25</v>
      </c>
      <c r="CJ13">
        <v>2.2669999999999999</v>
      </c>
      <c r="CK13">
        <v>1.5</v>
      </c>
      <c r="CL13">
        <v>1.903</v>
      </c>
      <c r="CM13">
        <v>2.383</v>
      </c>
    </row>
    <row r="14" spans="1:91" x14ac:dyDescent="0.25">
      <c r="A14" s="345"/>
      <c r="B14" s="98" t="s">
        <v>31</v>
      </c>
      <c r="C14" s="98" t="s">
        <v>3</v>
      </c>
      <c r="D14" s="103">
        <f>1+56/60</f>
        <v>1.9333333333333333</v>
      </c>
      <c r="E14" s="98">
        <v>5.2169999999999996</v>
      </c>
      <c r="F14" s="98">
        <f>9+15/60</f>
        <v>9.25</v>
      </c>
      <c r="G14" s="98">
        <v>4.75</v>
      </c>
      <c r="H14" s="98">
        <v>2.1669999999999998</v>
      </c>
      <c r="I14" s="98">
        <f>4+2/60</f>
        <v>4.0333333333333332</v>
      </c>
      <c r="J14" s="98">
        <f>5+11/60</f>
        <v>5.1833333333333336</v>
      </c>
      <c r="K14" s="98">
        <v>3.4830000000000001</v>
      </c>
      <c r="L14" s="98">
        <v>3.0558000000000001</v>
      </c>
      <c r="M14" s="98">
        <v>7</v>
      </c>
      <c r="N14" s="100">
        <v>13.317</v>
      </c>
      <c r="O14" s="100">
        <v>3.9169999999999998</v>
      </c>
      <c r="P14" s="105">
        <v>4.4669999999999996</v>
      </c>
      <c r="Q14" s="100">
        <v>5.0833000000000004</v>
      </c>
      <c r="R14" s="101">
        <v>3.3330000000000002</v>
      </c>
      <c r="S14" s="101">
        <v>2.2650000000000001</v>
      </c>
      <c r="T14" s="101">
        <v>7.3330000000000002</v>
      </c>
      <c r="U14" s="101">
        <v>4.633</v>
      </c>
      <c r="V14" s="101">
        <v>9.7669999999999995</v>
      </c>
      <c r="W14" s="102">
        <f>W13</f>
        <v>0.96699999999999997</v>
      </c>
      <c r="X14" s="101">
        <v>3.4</v>
      </c>
      <c r="Y14" s="101">
        <v>2.867</v>
      </c>
      <c r="Z14" s="101">
        <v>4.1500000000000004</v>
      </c>
      <c r="AA14" s="97">
        <v>2.5</v>
      </c>
      <c r="AB14" s="97">
        <v>3.8170000000000002</v>
      </c>
      <c r="AC14" s="97">
        <v>3.0194999999999999</v>
      </c>
      <c r="AD14" s="97">
        <v>2.5209999999999999</v>
      </c>
      <c r="AE14" s="104">
        <f>AE13</f>
        <v>3.2879999999999998</v>
      </c>
      <c r="AF14" s="97">
        <v>3.0832999999999999</v>
      </c>
      <c r="AG14" s="97">
        <v>6.4</v>
      </c>
      <c r="AH14" s="97">
        <v>2.633</v>
      </c>
      <c r="AI14" s="97">
        <v>6.3</v>
      </c>
      <c r="AJ14" s="97">
        <v>4.7</v>
      </c>
      <c r="AK14" s="97">
        <v>5</v>
      </c>
      <c r="AL14" s="97">
        <v>5.1669999999999998</v>
      </c>
      <c r="AM14" s="97">
        <v>2.2829999999999999</v>
      </c>
      <c r="AN14" s="97">
        <v>10.25</v>
      </c>
      <c r="AO14" s="97">
        <v>6.3330000000000002</v>
      </c>
      <c r="AP14" s="97">
        <v>3.6</v>
      </c>
      <c r="AQ14" s="97">
        <v>4.883</v>
      </c>
      <c r="AR14" s="97">
        <v>3.7829999999999999</v>
      </c>
      <c r="AS14" s="97">
        <v>2.1850000000000001</v>
      </c>
      <c r="AT14" s="97">
        <v>3.0167000000000002</v>
      </c>
      <c r="AU14" s="97">
        <v>6.883</v>
      </c>
      <c r="AV14" s="97">
        <v>16.033300000000001</v>
      </c>
      <c r="AW14" s="97">
        <v>5.5</v>
      </c>
      <c r="AX14" s="109">
        <f>AX13</f>
        <v>3.6669999999999998</v>
      </c>
      <c r="AY14" s="97">
        <v>8.2330000000000005</v>
      </c>
      <c r="AZ14" s="97">
        <v>2.3330000000000002</v>
      </c>
      <c r="BA14" s="97">
        <v>4.1500000000000004</v>
      </c>
      <c r="BB14" s="97">
        <v>16.55</v>
      </c>
      <c r="BC14" s="97">
        <v>4.6669999999999998</v>
      </c>
      <c r="BD14" s="97">
        <v>4.0167000000000002</v>
      </c>
      <c r="BE14" s="97">
        <v>4.9169999999999998</v>
      </c>
      <c r="BF14" s="97">
        <v>4.8330000000000002</v>
      </c>
      <c r="BG14" s="97">
        <v>6.37</v>
      </c>
      <c r="BH14" s="97">
        <v>4.0999999999999996</v>
      </c>
      <c r="BI14" s="97">
        <v>7.0323000000000002</v>
      </c>
      <c r="BJ14" s="97">
        <v>4.383</v>
      </c>
      <c r="BK14" s="97">
        <v>1.9330000000000001</v>
      </c>
      <c r="BL14" s="97">
        <v>4.0877999999999997</v>
      </c>
      <c r="BM14" s="97">
        <v>4.2830000000000004</v>
      </c>
      <c r="BN14" s="97">
        <v>6.4</v>
      </c>
      <c r="BO14" s="97">
        <v>5.5</v>
      </c>
      <c r="BP14" s="97">
        <v>9.0685000000000002</v>
      </c>
      <c r="BQ14" s="97">
        <v>2.8330000000000002</v>
      </c>
      <c r="BR14" s="97">
        <v>3.4169999999999998</v>
      </c>
      <c r="BS14" s="97">
        <v>2.8820000000000001</v>
      </c>
      <c r="BT14" s="104">
        <f>BT13</f>
        <v>1.3169999999999999</v>
      </c>
      <c r="BU14" s="97">
        <v>5.5</v>
      </c>
      <c r="BV14" s="109">
        <f>BV13</f>
        <v>4.0833000000000004</v>
      </c>
      <c r="BW14">
        <v>6.2169999999999996</v>
      </c>
      <c r="BX14">
        <v>3.6</v>
      </c>
      <c r="BY14">
        <v>2.9</v>
      </c>
      <c r="BZ14">
        <v>8.4329999999999998</v>
      </c>
      <c r="CA14">
        <v>2.8330000000000002</v>
      </c>
      <c r="CB14">
        <v>8.8829999999999991</v>
      </c>
      <c r="CC14">
        <v>7.7</v>
      </c>
      <c r="CD14">
        <v>2.8330000000000002</v>
      </c>
      <c r="CE14">
        <v>3.5830000000000002</v>
      </c>
      <c r="CF14">
        <v>3.4329999999999998</v>
      </c>
      <c r="CG14" s="9">
        <v>6</v>
      </c>
      <c r="CH14">
        <v>5.633</v>
      </c>
      <c r="CI14">
        <v>6.25</v>
      </c>
      <c r="CJ14" s="9">
        <v>3</v>
      </c>
      <c r="CK14">
        <v>2.617</v>
      </c>
      <c r="CL14">
        <v>2.371</v>
      </c>
      <c r="CM14">
        <v>2.5499999999999998</v>
      </c>
    </row>
    <row r="15" spans="1:91" x14ac:dyDescent="0.25">
      <c r="A15" s="345"/>
      <c r="B15" s="98" t="s">
        <v>32</v>
      </c>
      <c r="C15" s="98" t="s">
        <v>3</v>
      </c>
      <c r="D15" s="103">
        <f>1+56/60</f>
        <v>1.9333333333333333</v>
      </c>
      <c r="E15" s="98">
        <v>6.117</v>
      </c>
      <c r="F15" s="98">
        <f>18+23/60</f>
        <v>18.383333333333333</v>
      </c>
      <c r="G15" s="98">
        <v>6.7169999999999996</v>
      </c>
      <c r="H15" s="98">
        <v>2.6669999999999998</v>
      </c>
      <c r="I15" s="98">
        <f>4+11/60</f>
        <v>4.1833333333333336</v>
      </c>
      <c r="J15" s="98">
        <f>7+25/60</f>
        <v>7.416666666666667</v>
      </c>
      <c r="K15" s="98">
        <v>3.883</v>
      </c>
      <c r="L15" s="103">
        <v>3.0558000000000001</v>
      </c>
      <c r="M15" s="98">
        <v>8.2829999999999995</v>
      </c>
      <c r="N15" s="100">
        <v>20.216999999999999</v>
      </c>
      <c r="O15" s="100">
        <v>4.1669999999999998</v>
      </c>
      <c r="P15" s="100">
        <v>4.5</v>
      </c>
      <c r="Q15" s="100">
        <v>6.5670000000000002</v>
      </c>
      <c r="R15" s="102">
        <f>R14</f>
        <v>3.3330000000000002</v>
      </c>
      <c r="S15" s="102">
        <f>S14</f>
        <v>2.2650000000000001</v>
      </c>
      <c r="T15" s="102">
        <v>8.1</v>
      </c>
      <c r="U15" s="101">
        <v>7.9329999999999998</v>
      </c>
      <c r="V15" s="101">
        <v>12.717000000000001</v>
      </c>
      <c r="W15" s="102">
        <f>W14</f>
        <v>0.96699999999999997</v>
      </c>
      <c r="X15" s="102">
        <f>X14</f>
        <v>3.4</v>
      </c>
      <c r="Y15" s="101">
        <v>3.5329999999999999</v>
      </c>
      <c r="Z15" s="102">
        <f>Z14</f>
        <v>4.1500000000000004</v>
      </c>
      <c r="AA15" s="97">
        <v>3.0167000000000002</v>
      </c>
      <c r="AB15" s="97">
        <v>4.0332999999999997</v>
      </c>
      <c r="AC15" s="104">
        <f>AC14</f>
        <v>3.0194999999999999</v>
      </c>
      <c r="AD15" s="104">
        <f>AD14</f>
        <v>2.5209999999999999</v>
      </c>
      <c r="AE15" s="104">
        <f>AE14</f>
        <v>3.2879999999999998</v>
      </c>
      <c r="AF15" s="104">
        <f>AF14</f>
        <v>3.0832999999999999</v>
      </c>
      <c r="AG15" s="97">
        <v>9.65</v>
      </c>
      <c r="AH15" s="104">
        <f>AH14</f>
        <v>2.633</v>
      </c>
      <c r="AI15" s="97">
        <v>8.6329999999999991</v>
      </c>
      <c r="AJ15" s="104">
        <f>AJ14</f>
        <v>4.7</v>
      </c>
      <c r="AK15" s="97">
        <v>7.5</v>
      </c>
      <c r="AL15" s="104">
        <f>AL14</f>
        <v>5.1669999999999998</v>
      </c>
      <c r="AM15" s="97">
        <v>2.3330000000000002</v>
      </c>
      <c r="AN15" s="104">
        <f t="shared" ref="AN15:AS15" si="0">AN14</f>
        <v>10.25</v>
      </c>
      <c r="AO15" s="104">
        <f t="shared" si="0"/>
        <v>6.3330000000000002</v>
      </c>
      <c r="AP15" s="104">
        <f t="shared" si="0"/>
        <v>3.6</v>
      </c>
      <c r="AQ15" s="104">
        <f t="shared" si="0"/>
        <v>4.883</v>
      </c>
      <c r="AR15" s="104">
        <f t="shared" si="0"/>
        <v>3.7829999999999999</v>
      </c>
      <c r="AS15" s="104">
        <f t="shared" si="0"/>
        <v>2.1850000000000001</v>
      </c>
      <c r="AT15" s="97">
        <v>5.45</v>
      </c>
      <c r="AU15" s="104">
        <f>AU14</f>
        <v>6.883</v>
      </c>
      <c r="AV15" s="104">
        <f>AV14</f>
        <v>16.033300000000001</v>
      </c>
      <c r="AW15" s="97">
        <v>8</v>
      </c>
      <c r="AX15" s="109">
        <f>AX14</f>
        <v>3.6669999999999998</v>
      </c>
      <c r="AY15" s="97">
        <v>9.2330000000000005</v>
      </c>
      <c r="AZ15" s="104">
        <f>AZ14</f>
        <v>2.3330000000000002</v>
      </c>
      <c r="BA15" s="97">
        <v>4.4329999999999998</v>
      </c>
      <c r="BB15" s="104">
        <f>BB14</f>
        <v>16.55</v>
      </c>
      <c r="BC15" s="97">
        <v>4.6669999999999998</v>
      </c>
      <c r="BD15" s="97">
        <v>4.6500000000000004</v>
      </c>
      <c r="BE15" s="97">
        <v>5.1669999999999998</v>
      </c>
      <c r="BF15" s="97">
        <v>5.5</v>
      </c>
      <c r="BG15" s="104">
        <f>BG14</f>
        <v>6.37</v>
      </c>
      <c r="BH15" s="104">
        <f>BH14</f>
        <v>4.0999999999999996</v>
      </c>
      <c r="BI15" s="104">
        <f>BI14</f>
        <v>7.0323000000000002</v>
      </c>
      <c r="BJ15" s="104">
        <f>BJ14</f>
        <v>4.383</v>
      </c>
      <c r="BK15" s="104">
        <f>BK14</f>
        <v>1.9330000000000001</v>
      </c>
      <c r="BL15" s="97">
        <v>6.0292000000000003</v>
      </c>
      <c r="BM15" s="97">
        <v>6.2670000000000003</v>
      </c>
      <c r="BN15" s="97">
        <v>9.3170000000000002</v>
      </c>
      <c r="BO15" s="97">
        <v>8.25</v>
      </c>
      <c r="BP15" s="97">
        <v>9.5730000000000004</v>
      </c>
      <c r="BQ15" s="97">
        <v>3</v>
      </c>
      <c r="BR15" s="104">
        <f>BR14</f>
        <v>3.4169999999999998</v>
      </c>
      <c r="BS15" s="97">
        <v>3.9089999999999998</v>
      </c>
      <c r="BT15" s="104">
        <f>BT14</f>
        <v>1.3169999999999999</v>
      </c>
      <c r="BU15" s="97">
        <v>6.25</v>
      </c>
      <c r="BV15" s="109">
        <f>BV14</f>
        <v>4.0833000000000004</v>
      </c>
      <c r="BW15">
        <v>10.033300000000001</v>
      </c>
      <c r="BX15">
        <v>5.0999999999999996</v>
      </c>
      <c r="BY15">
        <v>3.4830000000000001</v>
      </c>
      <c r="BZ15" s="109">
        <f>BZ14</f>
        <v>8.4329999999999998</v>
      </c>
      <c r="CA15">
        <v>2.9329999999999998</v>
      </c>
      <c r="CB15" s="109">
        <f>CB14</f>
        <v>8.8829999999999991</v>
      </c>
      <c r="CC15" s="109">
        <f>CC14</f>
        <v>7.7</v>
      </c>
      <c r="CD15">
        <v>3.1</v>
      </c>
      <c r="CE15">
        <v>4.6829999999999998</v>
      </c>
      <c r="CF15">
        <v>3.5830000000000002</v>
      </c>
      <c r="CG15">
        <v>8.8000000000000007</v>
      </c>
      <c r="CH15" s="109">
        <f>CH14</f>
        <v>5.633</v>
      </c>
      <c r="CI15" s="109">
        <f>CI14</f>
        <v>6.25</v>
      </c>
      <c r="CJ15">
        <v>7.6</v>
      </c>
      <c r="CK15">
        <v>3.9830000000000001</v>
      </c>
      <c r="CL15" s="109">
        <f>CL14</f>
        <v>2.371</v>
      </c>
      <c r="CM15">
        <v>3.9830000000000001</v>
      </c>
    </row>
    <row r="16" spans="1:91" x14ac:dyDescent="0.25">
      <c r="A16" s="345"/>
      <c r="B16" s="98" t="s">
        <v>33</v>
      </c>
      <c r="C16" s="98" t="s">
        <v>4</v>
      </c>
      <c r="D16" s="98">
        <f>4+47/60</f>
        <v>4.7833333333333332</v>
      </c>
      <c r="E16" s="98">
        <v>0.41699999999999998</v>
      </c>
      <c r="F16" s="98">
        <f>15/60</f>
        <v>0.25</v>
      </c>
      <c r="G16" s="98">
        <v>0.1</v>
      </c>
      <c r="H16" s="98">
        <v>0.16700000000000001</v>
      </c>
      <c r="I16" s="98">
        <f>30/60</f>
        <v>0.5</v>
      </c>
      <c r="J16" s="98">
        <f>51/60</f>
        <v>0.85</v>
      </c>
      <c r="K16" s="98">
        <v>0.46700000000000003</v>
      </c>
      <c r="L16" s="98">
        <v>0.12</v>
      </c>
      <c r="M16" s="98">
        <v>0.5</v>
      </c>
      <c r="N16" s="100">
        <v>1.0169999999999999</v>
      </c>
      <c r="O16" s="100">
        <v>0.33300000000000002</v>
      </c>
      <c r="P16" s="100">
        <v>0.38300000000000001</v>
      </c>
      <c r="Q16" s="100">
        <v>0.11700000000000001</v>
      </c>
      <c r="R16" s="101">
        <v>0.75</v>
      </c>
      <c r="S16" s="101">
        <v>0.16700000000000001</v>
      </c>
      <c r="T16" s="101">
        <v>0.33300000000000002</v>
      </c>
      <c r="U16" s="101">
        <v>8.3299999999999999E-2</v>
      </c>
      <c r="V16" s="101">
        <v>0.61699999999999999</v>
      </c>
      <c r="W16" s="101">
        <v>6.6699999999999995E-2</v>
      </c>
      <c r="X16" s="101">
        <v>6.6699999999999995E-2</v>
      </c>
      <c r="Y16" s="101">
        <v>8.3299999999999999E-2</v>
      </c>
      <c r="Z16" s="101">
        <v>0.28699999999999998</v>
      </c>
      <c r="AA16" s="97">
        <v>0.33300000000000002</v>
      </c>
      <c r="AB16" s="97">
        <v>0.41699999999999998</v>
      </c>
      <c r="AC16" s="97">
        <v>0.11799999999999999</v>
      </c>
      <c r="AD16" s="97">
        <v>1.67E-2</v>
      </c>
      <c r="AE16" s="97">
        <v>2.5920000000000001</v>
      </c>
      <c r="AF16" s="97">
        <v>8.3299999999999999E-2</v>
      </c>
      <c r="AG16" s="97">
        <v>0.25</v>
      </c>
      <c r="AH16" s="97">
        <v>0.5</v>
      </c>
      <c r="AI16" s="97">
        <v>2.383</v>
      </c>
      <c r="AJ16" s="97">
        <v>8.6170000000000009</v>
      </c>
      <c r="AK16" s="97">
        <v>0.13300000000000001</v>
      </c>
      <c r="AL16" s="97">
        <v>0.23300000000000001</v>
      </c>
      <c r="AM16" s="97">
        <v>0.4</v>
      </c>
      <c r="AN16" s="97">
        <v>0.05</v>
      </c>
      <c r="AO16" s="97">
        <v>1.667</v>
      </c>
      <c r="AP16" s="97">
        <v>0.05</v>
      </c>
      <c r="AQ16" s="97">
        <v>0.2</v>
      </c>
      <c r="AR16" s="97">
        <v>0.68300000000000005</v>
      </c>
      <c r="AS16" s="97">
        <v>9.8500000000000004E-2</v>
      </c>
      <c r="AT16" s="97">
        <v>5.4669999999999996</v>
      </c>
      <c r="AU16" s="97">
        <v>2.133</v>
      </c>
      <c r="AV16" s="97">
        <v>1.0009999999999999</v>
      </c>
      <c r="AW16" s="97">
        <v>1.67E-2</v>
      </c>
      <c r="AX16">
        <v>0.5</v>
      </c>
      <c r="AY16" s="97">
        <v>0.16700000000000001</v>
      </c>
      <c r="AZ16" s="97">
        <v>0.46700000000000003</v>
      </c>
      <c r="BA16" s="97">
        <v>0.33300000000000002</v>
      </c>
      <c r="BB16" s="97">
        <v>0.25</v>
      </c>
      <c r="BC16" s="97">
        <v>0.53300000000000003</v>
      </c>
      <c r="BD16" s="97">
        <v>0.46700000000000003</v>
      </c>
      <c r="BE16" s="97">
        <v>6.6699999999999995E-2</v>
      </c>
      <c r="BF16" s="97">
        <v>0.11700000000000001</v>
      </c>
      <c r="BG16" s="97">
        <v>5.3800000000000001E-2</v>
      </c>
      <c r="BH16" s="97">
        <v>6.6699999999999995E-2</v>
      </c>
      <c r="BI16" s="97">
        <v>0.93100000000000005</v>
      </c>
      <c r="BJ16" s="97">
        <v>0.217</v>
      </c>
      <c r="BK16" s="97">
        <v>0.05</v>
      </c>
      <c r="BL16" s="97">
        <v>1.1040000000000001</v>
      </c>
      <c r="BM16" s="97">
        <v>0.11700000000000001</v>
      </c>
      <c r="BN16" s="97">
        <v>0.16700000000000001</v>
      </c>
      <c r="BO16" s="97">
        <v>6.6699999999999995E-2</v>
      </c>
      <c r="BP16" s="97">
        <v>4.5030000000000001</v>
      </c>
      <c r="BQ16" s="97">
        <v>0.11700000000000001</v>
      </c>
      <c r="BR16" s="97">
        <v>3.3300000000000003E-2</v>
      </c>
      <c r="BS16" s="97">
        <v>0.13100000000000001</v>
      </c>
      <c r="BT16" s="97">
        <v>0.05</v>
      </c>
      <c r="BU16" s="97">
        <v>2.0167000000000002</v>
      </c>
      <c r="BV16">
        <v>0.26700000000000002</v>
      </c>
      <c r="BW16">
        <v>0.25</v>
      </c>
      <c r="BX16">
        <v>3.3300000000000003E-2</v>
      </c>
      <c r="BY16">
        <v>1.67E-2</v>
      </c>
      <c r="BZ16">
        <v>0.91700000000000004</v>
      </c>
      <c r="CA16">
        <v>0.83299999999999996</v>
      </c>
      <c r="CB16">
        <v>0.05</v>
      </c>
      <c r="CC16">
        <v>0.33300000000000002</v>
      </c>
      <c r="CD16">
        <v>0.51200000000000001</v>
      </c>
      <c r="CE16">
        <v>0.53300000000000003</v>
      </c>
      <c r="CF16">
        <v>0.66700000000000004</v>
      </c>
      <c r="CG16">
        <v>1.35</v>
      </c>
      <c r="CH16">
        <v>0.16700000000000001</v>
      </c>
      <c r="CI16">
        <v>1.75</v>
      </c>
      <c r="CJ16">
        <v>2.25</v>
      </c>
      <c r="CK16">
        <v>0.13300000000000001</v>
      </c>
      <c r="CL16">
        <v>8.7499999999999994E-2</v>
      </c>
      <c r="CM16">
        <v>0.317</v>
      </c>
    </row>
    <row r="17" spans="1:91" x14ac:dyDescent="0.25">
      <c r="A17" s="345"/>
      <c r="B17" s="98" t="s">
        <v>34</v>
      </c>
      <c r="C17" s="98" t="s">
        <v>6</v>
      </c>
      <c r="D17" s="98">
        <f>5+19/60</f>
        <v>5.3166666666666664</v>
      </c>
      <c r="E17" s="98">
        <v>2.9329999999999998</v>
      </c>
      <c r="F17" s="98">
        <f>30/60</f>
        <v>0.5</v>
      </c>
      <c r="G17" s="98">
        <v>1.867</v>
      </c>
      <c r="H17" s="98">
        <v>1.2</v>
      </c>
      <c r="I17" s="103">
        <f>30/60</f>
        <v>0.5</v>
      </c>
      <c r="J17" s="98">
        <f>1+34/60</f>
        <v>1.5666666666666667</v>
      </c>
      <c r="K17" s="98">
        <v>3.7170000000000001</v>
      </c>
      <c r="L17" s="98">
        <v>0.42799999999999999</v>
      </c>
      <c r="M17" s="98">
        <v>2.5</v>
      </c>
      <c r="N17" s="100">
        <v>1.85</v>
      </c>
      <c r="O17" s="100">
        <v>0.83299999999999996</v>
      </c>
      <c r="P17" s="100">
        <v>4.383</v>
      </c>
      <c r="Q17" s="100">
        <v>12.167</v>
      </c>
      <c r="R17" s="101">
        <v>2.5</v>
      </c>
      <c r="S17" s="101">
        <v>0.84499999999999997</v>
      </c>
      <c r="T17" s="101">
        <v>0.66700000000000004</v>
      </c>
      <c r="U17" s="101">
        <v>0.28299999999999997</v>
      </c>
      <c r="V17" s="101">
        <v>1.2170000000000001</v>
      </c>
      <c r="W17" s="101">
        <v>1.5669999999999999</v>
      </c>
      <c r="X17" s="101">
        <v>0.56699999999999995</v>
      </c>
      <c r="Y17" s="101">
        <v>5.5830000000000002</v>
      </c>
      <c r="Z17" s="101">
        <v>1.4830000000000001</v>
      </c>
      <c r="AA17" s="97">
        <v>2.633</v>
      </c>
      <c r="AB17" s="97">
        <v>4.2830000000000004</v>
      </c>
      <c r="AC17" s="97">
        <v>0.58699999999999997</v>
      </c>
      <c r="AD17" s="97">
        <v>0.79200000000000004</v>
      </c>
      <c r="AE17" s="97">
        <v>3.6850000000000001</v>
      </c>
      <c r="AF17" s="97">
        <v>0.5</v>
      </c>
      <c r="AG17" s="97">
        <v>6.3330000000000002</v>
      </c>
      <c r="AH17" s="97">
        <v>1.5</v>
      </c>
      <c r="AI17" s="97">
        <v>2.5169999999999999</v>
      </c>
      <c r="AJ17" s="97">
        <v>11.617000000000001</v>
      </c>
      <c r="AK17" s="97">
        <v>0.83299999999999996</v>
      </c>
      <c r="AL17" s="97">
        <v>0.8</v>
      </c>
      <c r="AM17" s="97">
        <v>0.56699999999999995</v>
      </c>
      <c r="AN17" s="97">
        <v>0.25</v>
      </c>
      <c r="AO17" s="97">
        <v>1.85</v>
      </c>
      <c r="AP17" s="97">
        <v>0.83299999999999996</v>
      </c>
      <c r="AQ17" s="97">
        <v>1.0166999999999999</v>
      </c>
      <c r="AR17" s="97">
        <v>2.1669999999999998</v>
      </c>
      <c r="AS17" s="97">
        <v>0.216</v>
      </c>
      <c r="AT17" s="97">
        <v>6.4169999999999998</v>
      </c>
      <c r="AU17" s="97">
        <v>2.5329999999999999</v>
      </c>
      <c r="AV17" s="97">
        <v>1.3460000000000001</v>
      </c>
      <c r="AW17" s="97">
        <v>0.36699999999999999</v>
      </c>
      <c r="AX17">
        <v>8.25</v>
      </c>
      <c r="AY17" s="97">
        <v>3.3330000000000002</v>
      </c>
      <c r="AZ17" s="97">
        <v>2.0167000000000002</v>
      </c>
      <c r="BA17" s="97">
        <v>1.65</v>
      </c>
      <c r="BB17" s="97">
        <v>2.25</v>
      </c>
      <c r="BC17" s="97">
        <v>1.7330000000000001</v>
      </c>
      <c r="BD17" s="97">
        <v>1.65</v>
      </c>
      <c r="BE17" s="97">
        <v>0.83299999999999996</v>
      </c>
      <c r="BF17" s="97">
        <v>0.96699999999999997</v>
      </c>
      <c r="BG17" s="97">
        <v>0.43099999999999999</v>
      </c>
      <c r="BH17" s="97">
        <v>0.26700000000000002</v>
      </c>
      <c r="BI17" s="97">
        <v>2.2120000000000002</v>
      </c>
      <c r="BJ17" s="97">
        <v>1.167</v>
      </c>
      <c r="BK17" s="97">
        <v>0.13300000000000001</v>
      </c>
      <c r="BL17" s="97">
        <v>3.0962999999999998</v>
      </c>
      <c r="BM17" s="97">
        <v>1.0832999999999999</v>
      </c>
      <c r="BN17" s="97">
        <v>1.0717000000000001</v>
      </c>
      <c r="BO17" s="97">
        <v>0.433</v>
      </c>
      <c r="BP17" s="97">
        <v>10.882</v>
      </c>
      <c r="BQ17" s="97">
        <v>2.4169999999999998</v>
      </c>
      <c r="BR17" s="97">
        <v>0.48299999999999998</v>
      </c>
      <c r="BS17" s="97">
        <v>0.216</v>
      </c>
      <c r="BT17" s="97">
        <v>3.35</v>
      </c>
      <c r="BU17" s="97">
        <v>3.2</v>
      </c>
      <c r="BV17">
        <v>0.78300000000000003</v>
      </c>
      <c r="BW17">
        <v>1.25</v>
      </c>
      <c r="BX17">
        <v>0.91700000000000004</v>
      </c>
      <c r="BY17">
        <v>0.95</v>
      </c>
      <c r="BZ17">
        <v>6.0167000000000002</v>
      </c>
      <c r="CA17">
        <v>1.117</v>
      </c>
      <c r="CB17">
        <v>3.2</v>
      </c>
      <c r="CC17">
        <v>0.66700000000000004</v>
      </c>
      <c r="CD17">
        <v>0.63700000000000001</v>
      </c>
      <c r="CE17">
        <v>0.63300000000000001</v>
      </c>
      <c r="CF17">
        <v>11.9</v>
      </c>
      <c r="CG17">
        <v>3.133</v>
      </c>
      <c r="CH17">
        <v>2.9670000000000001</v>
      </c>
      <c r="CI17">
        <v>2.75</v>
      </c>
      <c r="CJ17">
        <v>2.8170000000000002</v>
      </c>
      <c r="CK17">
        <v>0.23300000000000001</v>
      </c>
      <c r="CL17">
        <v>0.107</v>
      </c>
      <c r="CM17">
        <v>6.0667</v>
      </c>
    </row>
    <row r="18" spans="1:91" x14ac:dyDescent="0.25">
      <c r="A18" s="345"/>
      <c r="B18" s="98" t="s">
        <v>35</v>
      </c>
      <c r="C18" s="98" t="s">
        <v>4</v>
      </c>
      <c r="D18" s="98">
        <f>7+24/60</f>
        <v>7.4</v>
      </c>
      <c r="E18" s="98">
        <v>3.3170000000000002</v>
      </c>
      <c r="F18" s="98">
        <f>45/60</f>
        <v>0.75</v>
      </c>
      <c r="G18" s="98">
        <v>5.9829999999999997</v>
      </c>
      <c r="H18" s="98">
        <v>2.0169999999999999</v>
      </c>
      <c r="I18" s="98">
        <f>5+35/60</f>
        <v>5.583333333333333</v>
      </c>
      <c r="J18" s="98">
        <f>1+45/60</f>
        <v>1.75</v>
      </c>
      <c r="K18" s="98">
        <v>4.45</v>
      </c>
      <c r="L18" s="98">
        <v>0.83899999999999997</v>
      </c>
      <c r="M18" s="98">
        <v>3.7170000000000001</v>
      </c>
      <c r="N18" s="100">
        <v>2.383</v>
      </c>
      <c r="O18" s="100">
        <v>1.75</v>
      </c>
      <c r="P18" s="100">
        <v>6.5670000000000002</v>
      </c>
      <c r="Q18" s="100">
        <v>12.567</v>
      </c>
      <c r="R18" s="101">
        <v>4.25</v>
      </c>
      <c r="S18" s="101">
        <v>1.2529999999999999</v>
      </c>
      <c r="T18" s="101">
        <v>1.667</v>
      </c>
      <c r="U18" s="101">
        <v>0.55000000000000004</v>
      </c>
      <c r="V18" s="101">
        <v>3.15</v>
      </c>
      <c r="W18" s="101">
        <v>3</v>
      </c>
      <c r="X18" s="101">
        <v>0.95</v>
      </c>
      <c r="Y18" s="101">
        <v>8.1669999999999998</v>
      </c>
      <c r="Z18" s="101">
        <v>5.0999999999999996</v>
      </c>
      <c r="AA18" s="97">
        <v>2.9670000000000001</v>
      </c>
      <c r="AB18" s="97">
        <v>5.9</v>
      </c>
      <c r="AC18" s="97">
        <v>0.95199999999999996</v>
      </c>
      <c r="AD18" s="97">
        <v>1.478</v>
      </c>
      <c r="AE18" s="97">
        <v>8.173</v>
      </c>
      <c r="AF18" s="97">
        <v>3.0832999999999999</v>
      </c>
      <c r="AG18" s="97">
        <v>8.9670000000000005</v>
      </c>
      <c r="AH18" s="97">
        <v>2.75</v>
      </c>
      <c r="AI18" s="97">
        <v>2.5499999999999998</v>
      </c>
      <c r="AJ18" s="97">
        <v>14.662000000000001</v>
      </c>
      <c r="AK18" s="97">
        <v>2.6669999999999998</v>
      </c>
      <c r="AL18" s="97">
        <v>1.8169999999999999</v>
      </c>
      <c r="AM18" s="97">
        <v>1.7170000000000001</v>
      </c>
      <c r="AN18" s="97">
        <v>0.75</v>
      </c>
      <c r="AO18" s="97">
        <v>2.2669999999999999</v>
      </c>
      <c r="AP18" s="97">
        <v>1.417</v>
      </c>
      <c r="AQ18" s="97">
        <v>2.2170000000000001</v>
      </c>
      <c r="AR18" s="97">
        <v>6.1669999999999998</v>
      </c>
      <c r="AS18" s="97">
        <v>0.71299999999999997</v>
      </c>
      <c r="AT18" s="97">
        <v>6.7329999999999997</v>
      </c>
      <c r="AU18" s="97">
        <v>6.0332999999999997</v>
      </c>
      <c r="AV18" s="97">
        <v>1.8460000000000001</v>
      </c>
      <c r="AW18" s="97">
        <v>1.117</v>
      </c>
      <c r="AX18">
        <v>11.333</v>
      </c>
      <c r="AY18" s="97">
        <v>5.3330000000000002</v>
      </c>
      <c r="AZ18" s="97">
        <v>9.1329999999999991</v>
      </c>
      <c r="BA18" s="97">
        <v>3.0667</v>
      </c>
      <c r="BB18" s="97">
        <v>3.5</v>
      </c>
      <c r="BC18" s="97">
        <v>4.2670000000000003</v>
      </c>
      <c r="BD18" s="97">
        <v>3.7170000000000001</v>
      </c>
      <c r="BE18" s="97">
        <v>2.6</v>
      </c>
      <c r="BF18" s="97">
        <v>4</v>
      </c>
      <c r="BG18" s="97">
        <v>1.198</v>
      </c>
      <c r="BH18" s="97">
        <v>0.61699999999999999</v>
      </c>
      <c r="BI18" s="97">
        <v>2.86</v>
      </c>
      <c r="BJ18" s="97">
        <v>1.75</v>
      </c>
      <c r="BK18" s="97">
        <v>1.65</v>
      </c>
      <c r="BL18" s="97">
        <v>4.7649999999999997</v>
      </c>
      <c r="BM18" s="97">
        <v>2.2829999999999999</v>
      </c>
      <c r="BN18" s="97">
        <v>1.4</v>
      </c>
      <c r="BO18" s="97">
        <v>1.117</v>
      </c>
      <c r="BP18" s="97">
        <v>11.257999999999999</v>
      </c>
      <c r="BQ18" s="97">
        <v>7.6</v>
      </c>
      <c r="BR18" s="97">
        <v>1.583</v>
      </c>
      <c r="BS18" s="97">
        <v>0.64900000000000002</v>
      </c>
      <c r="BT18" s="97">
        <v>4</v>
      </c>
      <c r="BU18" s="97">
        <v>7.6669999999999998</v>
      </c>
      <c r="BV18">
        <v>1.2829999999999999</v>
      </c>
      <c r="BW18">
        <v>5.383</v>
      </c>
      <c r="BX18">
        <v>1.45</v>
      </c>
      <c r="BY18">
        <v>1.4670000000000001</v>
      </c>
      <c r="BZ18">
        <v>8.4830000000000005</v>
      </c>
      <c r="CA18">
        <v>1.5</v>
      </c>
      <c r="CB18">
        <v>5.5830000000000002</v>
      </c>
      <c r="CC18">
        <v>5.8170000000000002</v>
      </c>
      <c r="CD18">
        <v>2.2730000000000001</v>
      </c>
      <c r="CE18">
        <v>4.5830000000000002</v>
      </c>
      <c r="CF18">
        <v>12.45</v>
      </c>
      <c r="CG18">
        <v>5.75</v>
      </c>
      <c r="CH18">
        <v>3.8</v>
      </c>
      <c r="CI18">
        <v>4.75</v>
      </c>
      <c r="CJ18">
        <v>3.3170000000000002</v>
      </c>
      <c r="CK18">
        <v>3.5830000000000002</v>
      </c>
      <c r="CL18">
        <v>1.1379999999999999</v>
      </c>
      <c r="CM18">
        <v>8.0667000000000009</v>
      </c>
    </row>
    <row r="19" spans="1:91" x14ac:dyDescent="0.25">
      <c r="A19" s="345"/>
      <c r="B19" s="98" t="s">
        <v>36</v>
      </c>
      <c r="C19" s="98" t="s">
        <v>6</v>
      </c>
      <c r="D19" s="98">
        <f>11+5/60</f>
        <v>11.083333333333334</v>
      </c>
      <c r="E19" s="98">
        <v>9.0830000000000002</v>
      </c>
      <c r="F19" s="98">
        <f>4+15/60</f>
        <v>4.25</v>
      </c>
      <c r="G19" s="98">
        <v>9.2669999999999995</v>
      </c>
      <c r="H19" s="98">
        <v>4.6669999999999998</v>
      </c>
      <c r="I19" s="98">
        <f>8+15/60</f>
        <v>8.25</v>
      </c>
      <c r="J19" s="98">
        <f>6+30/60</f>
        <v>6.5</v>
      </c>
      <c r="K19" s="98">
        <v>9.9830000000000005</v>
      </c>
      <c r="L19" s="98">
        <v>4.3129999999999997</v>
      </c>
      <c r="M19" s="98">
        <v>7.0332999999999997</v>
      </c>
      <c r="N19" s="100">
        <v>13.083299999999999</v>
      </c>
      <c r="O19" s="100">
        <v>4.3330000000000002</v>
      </c>
      <c r="P19" s="105">
        <v>13.333</v>
      </c>
      <c r="Q19" s="100">
        <v>17.533000000000001</v>
      </c>
      <c r="R19" s="101">
        <v>7.3330000000000002</v>
      </c>
      <c r="S19" s="101">
        <v>5.4269999999999996</v>
      </c>
      <c r="T19" s="101">
        <v>5.25</v>
      </c>
      <c r="U19" s="101">
        <v>10.733000000000001</v>
      </c>
      <c r="V19" s="101">
        <v>10.25</v>
      </c>
      <c r="W19" s="101">
        <v>5.75</v>
      </c>
      <c r="X19" s="101">
        <v>6.0167000000000002</v>
      </c>
      <c r="Y19" s="101">
        <v>17.832999999999998</v>
      </c>
      <c r="Z19" s="101">
        <v>12.6</v>
      </c>
      <c r="AA19" s="97">
        <v>5</v>
      </c>
      <c r="AB19" s="97">
        <v>9.2170000000000005</v>
      </c>
      <c r="AC19" s="97">
        <v>5.95</v>
      </c>
      <c r="AD19" s="97">
        <v>7.28</v>
      </c>
      <c r="AE19" s="97">
        <v>10.75</v>
      </c>
      <c r="AF19" s="97">
        <v>5.117</v>
      </c>
      <c r="AG19" s="97">
        <v>12.6</v>
      </c>
      <c r="AH19" s="97">
        <v>6.75</v>
      </c>
      <c r="AI19" s="97">
        <v>9.1</v>
      </c>
      <c r="AJ19" s="97">
        <v>20.279</v>
      </c>
      <c r="AK19" s="97">
        <v>10.4</v>
      </c>
      <c r="AL19" s="97">
        <v>9.7829999999999995</v>
      </c>
      <c r="AM19" s="97">
        <v>4.4329999999999998</v>
      </c>
      <c r="AN19" s="97">
        <v>4.9169999999999998</v>
      </c>
      <c r="AO19" s="97">
        <v>3.9670000000000001</v>
      </c>
      <c r="AP19" s="97">
        <v>7.1669999999999998</v>
      </c>
      <c r="AQ19" s="97">
        <v>6.117</v>
      </c>
      <c r="AR19" s="97">
        <v>8.6329999999999991</v>
      </c>
      <c r="AS19" s="97">
        <v>6.4619999999999997</v>
      </c>
      <c r="AT19" s="97">
        <v>9.9499999999999993</v>
      </c>
      <c r="AU19" s="97">
        <v>8.3330000000000002</v>
      </c>
      <c r="AV19" s="97">
        <v>5.375</v>
      </c>
      <c r="AW19" s="97">
        <v>6.617</v>
      </c>
      <c r="AX19">
        <v>15.25</v>
      </c>
      <c r="AY19" s="97">
        <v>7.3330000000000002</v>
      </c>
      <c r="AZ19" s="97">
        <v>14.4</v>
      </c>
      <c r="BA19" s="97">
        <v>10.9</v>
      </c>
      <c r="BB19" s="97">
        <v>7.117</v>
      </c>
      <c r="BC19" s="97">
        <v>8.4329999999999998</v>
      </c>
      <c r="BD19" s="97">
        <v>6.9829999999999997</v>
      </c>
      <c r="BE19" s="97">
        <v>7.7670000000000003</v>
      </c>
      <c r="BF19" s="97">
        <v>8.1</v>
      </c>
      <c r="BG19" s="97">
        <v>3.4529999999999998</v>
      </c>
      <c r="BH19" s="97">
        <v>4.55</v>
      </c>
      <c r="BI19" s="97">
        <v>3.9689999999999999</v>
      </c>
      <c r="BJ19" s="97">
        <v>5</v>
      </c>
      <c r="BK19" s="97">
        <v>6.0667</v>
      </c>
      <c r="BL19" s="97">
        <v>9.8049999999999997</v>
      </c>
      <c r="BM19" s="97">
        <v>3.133</v>
      </c>
      <c r="BN19" s="97">
        <v>9.9</v>
      </c>
      <c r="BO19" s="97">
        <v>4.8499999999999996</v>
      </c>
      <c r="BP19" s="97">
        <v>13.694000000000001</v>
      </c>
      <c r="BQ19" s="97">
        <v>10.417</v>
      </c>
      <c r="BR19" s="97">
        <v>3.4329999999999998</v>
      </c>
      <c r="BS19" s="97">
        <v>4.9429999999999996</v>
      </c>
      <c r="BT19" s="97">
        <v>5.5330000000000004</v>
      </c>
      <c r="BU19" s="97">
        <v>20.632999999999999</v>
      </c>
      <c r="BV19">
        <v>4.3</v>
      </c>
      <c r="BW19">
        <v>10.35</v>
      </c>
      <c r="BX19">
        <v>4.867</v>
      </c>
      <c r="BY19">
        <v>4.2329999999999997</v>
      </c>
      <c r="BZ19">
        <v>14.317</v>
      </c>
      <c r="CA19">
        <v>4.3499999999999996</v>
      </c>
      <c r="CB19">
        <v>11.833</v>
      </c>
      <c r="CC19">
        <v>14.266999999999999</v>
      </c>
      <c r="CD19">
        <v>8.282</v>
      </c>
      <c r="CE19">
        <v>7.2670000000000003</v>
      </c>
      <c r="CF19">
        <v>15.7</v>
      </c>
      <c r="CG19">
        <v>13.167</v>
      </c>
      <c r="CH19">
        <v>9.15</v>
      </c>
      <c r="CI19">
        <v>9.75</v>
      </c>
      <c r="CJ19">
        <v>6.7169999999999996</v>
      </c>
      <c r="CK19" s="9">
        <v>9</v>
      </c>
      <c r="CL19">
        <v>15.581</v>
      </c>
      <c r="CM19">
        <v>13.567</v>
      </c>
    </row>
    <row r="20" spans="1:91" x14ac:dyDescent="0.25">
      <c r="A20" s="345"/>
      <c r="B20" s="98" t="s">
        <v>37</v>
      </c>
      <c r="C20" s="98" t="s">
        <v>6</v>
      </c>
      <c r="D20" s="98">
        <f>42+48/60</f>
        <v>42.8</v>
      </c>
      <c r="E20" s="98">
        <v>35.116999999999997</v>
      </c>
      <c r="F20" s="98">
        <f>27+11/60</f>
        <v>27.183333333333334</v>
      </c>
      <c r="G20" s="98">
        <v>26.533000000000001</v>
      </c>
      <c r="H20" s="98">
        <v>25.75</v>
      </c>
      <c r="I20" s="98">
        <f>27+49/60</f>
        <v>27.816666666666666</v>
      </c>
      <c r="J20" s="98">
        <f>56+25/60</f>
        <v>56.416666666666664</v>
      </c>
      <c r="K20" s="98">
        <v>39.75</v>
      </c>
      <c r="L20" s="98">
        <v>28.539000000000001</v>
      </c>
      <c r="M20" s="98">
        <v>41</v>
      </c>
      <c r="N20" s="100">
        <v>35.317</v>
      </c>
      <c r="O20" s="100">
        <v>24.25</v>
      </c>
      <c r="P20" s="100">
        <v>38.216999999999999</v>
      </c>
      <c r="Q20" s="100">
        <v>42.616999999999997</v>
      </c>
      <c r="R20" s="101">
        <v>13.833</v>
      </c>
      <c r="S20" s="101">
        <v>17.21</v>
      </c>
      <c r="T20" s="101">
        <v>34.832999999999998</v>
      </c>
      <c r="U20" s="101">
        <v>38.633000000000003</v>
      </c>
      <c r="V20" s="101">
        <v>59.55</v>
      </c>
      <c r="W20" s="101">
        <v>30.433</v>
      </c>
      <c r="X20" s="101">
        <v>30.132999999999999</v>
      </c>
      <c r="Y20" s="101">
        <v>44.25</v>
      </c>
      <c r="Z20" s="101">
        <v>29.8</v>
      </c>
      <c r="AA20" s="97">
        <v>12.85</v>
      </c>
      <c r="AB20" s="97">
        <v>50.133000000000003</v>
      </c>
      <c r="AC20" s="97">
        <v>27.331</v>
      </c>
      <c r="AD20" s="97">
        <v>22.65</v>
      </c>
      <c r="AE20" s="97">
        <v>44</v>
      </c>
      <c r="AF20" s="97">
        <v>39.683</v>
      </c>
      <c r="AG20" s="97">
        <v>29.75</v>
      </c>
      <c r="AH20" s="97">
        <v>26.433</v>
      </c>
      <c r="AI20" s="97">
        <v>25.117000000000001</v>
      </c>
      <c r="AJ20" s="97">
        <v>51.65</v>
      </c>
      <c r="AK20" s="97">
        <v>31.567</v>
      </c>
      <c r="AL20" s="97">
        <v>49.832999999999998</v>
      </c>
      <c r="AM20" s="97">
        <v>34.982999999999997</v>
      </c>
      <c r="AN20" s="97">
        <v>37.700000000000003</v>
      </c>
      <c r="AO20" s="97">
        <v>40.517000000000003</v>
      </c>
      <c r="AP20" s="97">
        <v>30.516999999999999</v>
      </c>
      <c r="AQ20" s="97">
        <v>21.167000000000002</v>
      </c>
      <c r="AR20" s="97">
        <v>31.75</v>
      </c>
      <c r="AS20" s="97">
        <v>57.15</v>
      </c>
      <c r="AT20" s="97">
        <v>34.883000000000003</v>
      </c>
      <c r="AU20" s="97">
        <v>36.482999999999997</v>
      </c>
      <c r="AV20" s="97">
        <v>17.971</v>
      </c>
      <c r="AW20" s="97">
        <v>48.616999999999997</v>
      </c>
      <c r="AX20">
        <v>56.5</v>
      </c>
      <c r="AY20" s="97">
        <v>27.332999999999998</v>
      </c>
      <c r="AZ20" s="97">
        <v>52.332999999999998</v>
      </c>
      <c r="BA20" s="97">
        <v>55.95</v>
      </c>
      <c r="BB20" s="97">
        <v>20.45</v>
      </c>
      <c r="BC20" s="97">
        <v>41.533000000000001</v>
      </c>
      <c r="BD20" s="97">
        <v>39.216999999999999</v>
      </c>
      <c r="BE20" s="97">
        <v>26.582999999999998</v>
      </c>
      <c r="BF20" s="97">
        <v>28.882999999999999</v>
      </c>
      <c r="BG20" s="97">
        <v>33.103999999999999</v>
      </c>
      <c r="BH20" s="97">
        <v>32.9</v>
      </c>
      <c r="BI20" s="97">
        <v>19.673999999999999</v>
      </c>
      <c r="BJ20" s="97">
        <v>24.417000000000002</v>
      </c>
      <c r="BK20" s="97">
        <v>10.867000000000001</v>
      </c>
      <c r="BL20" s="97">
        <v>34.840000000000003</v>
      </c>
      <c r="BM20" s="97">
        <v>18.582999999999998</v>
      </c>
      <c r="BN20" s="97">
        <v>29.9</v>
      </c>
      <c r="BO20" s="97">
        <v>24.917000000000002</v>
      </c>
      <c r="BP20" s="97">
        <v>57.767000000000003</v>
      </c>
      <c r="BQ20" s="97">
        <v>25.317</v>
      </c>
      <c r="BR20" s="97">
        <v>31.6</v>
      </c>
      <c r="BS20" s="97">
        <v>44.216999999999999</v>
      </c>
      <c r="BT20" s="97">
        <v>38.25</v>
      </c>
      <c r="BU20" s="97">
        <v>64.167000000000002</v>
      </c>
      <c r="BV20">
        <v>33.667000000000002</v>
      </c>
      <c r="BW20">
        <v>46.616999999999997</v>
      </c>
      <c r="BX20">
        <v>6.2329999999999997</v>
      </c>
      <c r="BY20">
        <v>7.3330000000000002</v>
      </c>
      <c r="BZ20">
        <v>33.633000000000003</v>
      </c>
      <c r="CA20">
        <v>6.367</v>
      </c>
      <c r="CB20">
        <v>48.75</v>
      </c>
      <c r="CC20">
        <v>41.9</v>
      </c>
      <c r="CD20">
        <v>35.1</v>
      </c>
      <c r="CE20">
        <v>12.083299999999999</v>
      </c>
      <c r="CF20">
        <v>17.7</v>
      </c>
      <c r="CG20">
        <v>49.667000000000002</v>
      </c>
      <c r="CH20">
        <v>26.266999999999999</v>
      </c>
      <c r="CI20">
        <v>59.75</v>
      </c>
      <c r="CJ20">
        <v>29.132999999999999</v>
      </c>
      <c r="CK20" s="9">
        <v>52</v>
      </c>
      <c r="CL20">
        <v>62.366999999999997</v>
      </c>
      <c r="CM20">
        <v>32.066699999999997</v>
      </c>
    </row>
    <row r="21" spans="1:91" x14ac:dyDescent="0.25">
      <c r="A21" s="345"/>
      <c r="B21" s="98" t="s">
        <v>38</v>
      </c>
      <c r="C21" s="98" t="s">
        <v>6</v>
      </c>
      <c r="D21" s="98">
        <f>45+11/60</f>
        <v>45.18333333333333</v>
      </c>
      <c r="E21" s="98">
        <v>35.517000000000003</v>
      </c>
      <c r="F21" s="103">
        <f>27+11/60</f>
        <v>27.183333333333334</v>
      </c>
      <c r="G21" s="98">
        <v>28.2</v>
      </c>
      <c r="H21" s="98">
        <v>25.95</v>
      </c>
      <c r="I21" s="98">
        <f>27+49/60</f>
        <v>27.816666666666666</v>
      </c>
      <c r="J21" s="98">
        <f>57</f>
        <v>57</v>
      </c>
      <c r="K21" s="98">
        <v>42.582999999999998</v>
      </c>
      <c r="L21" s="98">
        <v>29.021000000000001</v>
      </c>
      <c r="M21" s="98">
        <v>42</v>
      </c>
      <c r="N21" s="100">
        <v>36.267000000000003</v>
      </c>
      <c r="O21" s="100">
        <v>24.75</v>
      </c>
      <c r="P21" s="100">
        <v>38.832999999999998</v>
      </c>
      <c r="Q21" s="100">
        <v>46.732999999999997</v>
      </c>
      <c r="R21" s="101">
        <v>14</v>
      </c>
      <c r="S21" s="101">
        <v>19.440000000000001</v>
      </c>
      <c r="T21" s="101">
        <v>35.5</v>
      </c>
      <c r="U21" s="101">
        <v>39.25</v>
      </c>
      <c r="V21" s="101">
        <v>62.283000000000001</v>
      </c>
      <c r="W21" s="101">
        <v>31.632999999999999</v>
      </c>
      <c r="X21" s="102">
        <f>X20</f>
        <v>30.132999999999999</v>
      </c>
      <c r="Y21" s="101">
        <v>48.482999999999997</v>
      </c>
      <c r="Z21" s="101">
        <v>31.117000000000001</v>
      </c>
      <c r="AA21" s="97">
        <v>15.4</v>
      </c>
      <c r="AB21" s="97">
        <v>51.417000000000002</v>
      </c>
      <c r="AC21" s="97">
        <v>28.046700000000001</v>
      </c>
      <c r="AD21" s="97">
        <v>23.181000000000001</v>
      </c>
      <c r="AE21" s="97">
        <v>45.15</v>
      </c>
      <c r="AF21" s="97">
        <v>40.832999999999998</v>
      </c>
      <c r="AG21" s="97">
        <v>30.5</v>
      </c>
      <c r="AH21" s="97">
        <v>29.45</v>
      </c>
      <c r="AI21" s="97">
        <v>45</v>
      </c>
      <c r="AJ21" s="97">
        <v>52.116999999999997</v>
      </c>
      <c r="AK21" s="97">
        <v>35.832999999999998</v>
      </c>
      <c r="AL21" s="97">
        <v>50.667000000000002</v>
      </c>
      <c r="AM21" s="97">
        <v>36.15</v>
      </c>
      <c r="AN21" s="104">
        <f>AN20</f>
        <v>37.700000000000003</v>
      </c>
      <c r="AO21" s="97">
        <v>41.582999999999998</v>
      </c>
      <c r="AP21" s="97">
        <v>32.1</v>
      </c>
      <c r="AQ21" s="104">
        <f>AQ20</f>
        <v>21.167000000000002</v>
      </c>
      <c r="AR21" s="97">
        <v>33.866999999999997</v>
      </c>
      <c r="AS21" s="97">
        <v>60.05</v>
      </c>
      <c r="AT21" s="97">
        <v>35.982999999999997</v>
      </c>
      <c r="AU21" s="97">
        <v>37.832999999999998</v>
      </c>
      <c r="AV21" s="97">
        <v>19.966999999999999</v>
      </c>
      <c r="AW21" s="97">
        <v>51.116999999999997</v>
      </c>
      <c r="AX21">
        <v>63</v>
      </c>
      <c r="AY21" s="97">
        <v>27.832999999999998</v>
      </c>
      <c r="AZ21" s="97">
        <v>52.75</v>
      </c>
      <c r="BA21" s="97">
        <v>57.033299999999997</v>
      </c>
      <c r="BB21" s="97">
        <v>20.8</v>
      </c>
      <c r="BC21" s="97">
        <v>43.283000000000001</v>
      </c>
      <c r="BD21" s="97">
        <v>42</v>
      </c>
      <c r="BE21" s="97">
        <v>29.433</v>
      </c>
      <c r="BF21" s="97">
        <v>31.45</v>
      </c>
      <c r="BG21" s="104">
        <f>BG20</f>
        <v>33.103999999999999</v>
      </c>
      <c r="BH21" s="97">
        <v>35.966999999999999</v>
      </c>
      <c r="BI21" s="97">
        <v>19.984000000000002</v>
      </c>
      <c r="BJ21" s="97">
        <v>25.832999999999998</v>
      </c>
      <c r="BK21" s="97">
        <v>12.45</v>
      </c>
      <c r="BL21" s="104">
        <f>BL20</f>
        <v>34.840000000000003</v>
      </c>
      <c r="BM21" s="104">
        <f>BM20</f>
        <v>18.582999999999998</v>
      </c>
      <c r="BN21" s="97">
        <v>30.066700000000001</v>
      </c>
      <c r="BO21" s="97">
        <v>26.417000000000002</v>
      </c>
      <c r="BP21" s="97">
        <v>63.05</v>
      </c>
      <c r="BQ21" s="97">
        <v>25.917000000000002</v>
      </c>
      <c r="BR21" s="97">
        <v>33.5</v>
      </c>
      <c r="BS21" s="97">
        <v>44.4</v>
      </c>
      <c r="BT21" s="97">
        <v>46.133000000000003</v>
      </c>
      <c r="BU21" s="97">
        <v>66.25</v>
      </c>
      <c r="BV21" s="109">
        <f>BV20</f>
        <v>33.667000000000002</v>
      </c>
      <c r="BW21" s="109">
        <f>BW20</f>
        <v>46.616999999999997</v>
      </c>
      <c r="BX21">
        <v>13.933</v>
      </c>
      <c r="BY21">
        <v>7.8330000000000002</v>
      </c>
      <c r="BZ21" s="109">
        <f>BZ20</f>
        <v>33.633000000000003</v>
      </c>
      <c r="CA21">
        <v>7.0667</v>
      </c>
      <c r="CB21">
        <v>49.417000000000002</v>
      </c>
      <c r="CC21" s="109">
        <f>CC20</f>
        <v>41.9</v>
      </c>
      <c r="CD21">
        <v>39.683</v>
      </c>
      <c r="CE21">
        <v>12.583</v>
      </c>
      <c r="CF21">
        <v>18.25</v>
      </c>
      <c r="CG21">
        <v>50.7</v>
      </c>
      <c r="CH21">
        <v>27.283000000000001</v>
      </c>
      <c r="CI21">
        <v>61.75</v>
      </c>
      <c r="CJ21" s="109">
        <f>CJ20</f>
        <v>29.132999999999999</v>
      </c>
      <c r="CK21" s="9">
        <v>55</v>
      </c>
      <c r="CL21">
        <v>65.466999999999999</v>
      </c>
      <c r="CM21">
        <v>32.817</v>
      </c>
    </row>
    <row r="22" spans="1:91" x14ac:dyDescent="0.25">
      <c r="A22" s="345"/>
      <c r="B22" s="98" t="s">
        <v>39</v>
      </c>
      <c r="C22" s="98" t="s">
        <v>4</v>
      </c>
      <c r="D22" s="98">
        <f>47+40/60</f>
        <v>47.666666666666664</v>
      </c>
      <c r="E22" s="98">
        <v>36.216999999999999</v>
      </c>
      <c r="F22" s="98">
        <f>27+26/60</f>
        <v>27.433333333333334</v>
      </c>
      <c r="G22" s="98">
        <v>32.133000000000003</v>
      </c>
      <c r="H22" s="98">
        <v>26.5</v>
      </c>
      <c r="I22" s="98">
        <f>33+6/60</f>
        <v>33.1</v>
      </c>
      <c r="J22" s="98">
        <f>57+45/60</f>
        <v>57.75</v>
      </c>
      <c r="K22" s="98">
        <v>46.332999999999998</v>
      </c>
      <c r="L22" s="98">
        <v>29.388000000000002</v>
      </c>
      <c r="M22" s="98">
        <v>43</v>
      </c>
      <c r="N22" s="100">
        <v>37.083300000000001</v>
      </c>
      <c r="O22" s="100">
        <v>25.332999999999998</v>
      </c>
      <c r="P22" s="105">
        <v>45</v>
      </c>
      <c r="Q22" s="100">
        <v>49.167000000000002</v>
      </c>
      <c r="R22" s="101">
        <v>16.5</v>
      </c>
      <c r="S22" s="102">
        <v>20.466000000000001</v>
      </c>
      <c r="T22" s="101">
        <v>36.167000000000002</v>
      </c>
      <c r="U22" s="102">
        <f>U21</f>
        <v>39.25</v>
      </c>
      <c r="V22" s="101">
        <v>64.716999999999999</v>
      </c>
      <c r="W22" s="101">
        <v>34.317</v>
      </c>
      <c r="X22" s="101">
        <v>30.582999999999998</v>
      </c>
      <c r="Y22" s="101">
        <v>52.2</v>
      </c>
      <c r="Z22" s="101">
        <v>32.582999999999998</v>
      </c>
      <c r="AA22" s="97">
        <v>15.733000000000001</v>
      </c>
      <c r="AB22" s="97">
        <v>54.083300000000001</v>
      </c>
      <c r="AC22" s="97">
        <v>28.635999999999999</v>
      </c>
      <c r="AD22" s="97">
        <v>24.332999999999998</v>
      </c>
      <c r="AE22" s="97">
        <v>50.267000000000003</v>
      </c>
      <c r="AF22" s="97">
        <v>43.433</v>
      </c>
      <c r="AG22" s="97">
        <v>35.549999999999997</v>
      </c>
      <c r="AH22" s="97">
        <v>30.632999999999999</v>
      </c>
      <c r="AI22" s="97">
        <v>45.083300000000001</v>
      </c>
      <c r="AJ22" s="97">
        <v>54.567</v>
      </c>
      <c r="AK22" s="97">
        <v>38.633000000000003</v>
      </c>
      <c r="AL22" s="97">
        <v>51.783000000000001</v>
      </c>
      <c r="AM22" s="97">
        <v>37.299999999999997</v>
      </c>
      <c r="AN22" s="97">
        <v>40.75</v>
      </c>
      <c r="AO22" s="97">
        <v>43.667000000000002</v>
      </c>
      <c r="AP22" s="97">
        <v>34.883000000000003</v>
      </c>
      <c r="AQ22" s="97">
        <v>24.083300000000001</v>
      </c>
      <c r="AR22" s="97">
        <v>37.832999999999998</v>
      </c>
      <c r="AS22" s="97">
        <v>61.466999999999999</v>
      </c>
      <c r="AT22" s="97">
        <v>47.5</v>
      </c>
      <c r="AU22" s="97">
        <v>42.332999999999998</v>
      </c>
      <c r="AV22" s="97">
        <v>20.334</v>
      </c>
      <c r="AW22" s="97">
        <v>51.616999999999997</v>
      </c>
      <c r="AX22">
        <v>66.332999999999998</v>
      </c>
      <c r="AY22" s="97">
        <v>29.832999999999998</v>
      </c>
      <c r="AZ22" s="97">
        <v>56.65</v>
      </c>
      <c r="BA22" s="97">
        <v>58.616999999999997</v>
      </c>
      <c r="BB22" s="97">
        <v>21.55</v>
      </c>
      <c r="BC22" s="97">
        <v>45.317</v>
      </c>
      <c r="BD22" s="97">
        <v>44.7</v>
      </c>
      <c r="BE22" s="97">
        <v>32.167000000000002</v>
      </c>
      <c r="BF22" s="97">
        <v>33.332999999999998</v>
      </c>
      <c r="BG22" s="97">
        <v>54.505000000000003</v>
      </c>
      <c r="BH22" s="97">
        <v>36.517000000000003</v>
      </c>
      <c r="BI22" s="97">
        <v>20.702000000000002</v>
      </c>
      <c r="BJ22" s="97">
        <v>27.25</v>
      </c>
      <c r="BK22" s="97">
        <v>13.132999999999999</v>
      </c>
      <c r="BL22" s="97">
        <v>37.558999999999997</v>
      </c>
      <c r="BM22" s="97">
        <v>20.100000000000001</v>
      </c>
      <c r="BN22" s="97">
        <v>31.733000000000001</v>
      </c>
      <c r="BO22" s="97">
        <v>27.466999999999999</v>
      </c>
      <c r="BP22" s="97">
        <v>70.733000000000004</v>
      </c>
      <c r="BQ22" s="97">
        <v>29.933</v>
      </c>
      <c r="BR22" s="97">
        <v>34.049999999999997</v>
      </c>
      <c r="BS22" s="97">
        <v>45.2</v>
      </c>
      <c r="BT22" s="97">
        <v>48.633000000000003</v>
      </c>
      <c r="BU22" s="97">
        <v>71.382999999999996</v>
      </c>
      <c r="BV22">
        <v>33.832999999999998</v>
      </c>
      <c r="BW22">
        <v>50.667000000000002</v>
      </c>
      <c r="BX22" s="9">
        <v>16</v>
      </c>
      <c r="BY22">
        <v>8.3330000000000002</v>
      </c>
      <c r="BZ22">
        <v>37.35</v>
      </c>
      <c r="CA22">
        <v>7.5670000000000002</v>
      </c>
      <c r="CB22">
        <v>50.9</v>
      </c>
      <c r="CC22">
        <v>47.8</v>
      </c>
      <c r="CD22">
        <v>43.783000000000001</v>
      </c>
      <c r="CE22">
        <v>16.582999999999998</v>
      </c>
      <c r="CF22">
        <v>18.600000000000001</v>
      </c>
      <c r="CG22">
        <v>53.133000000000003</v>
      </c>
      <c r="CH22">
        <v>29.65</v>
      </c>
      <c r="CI22" s="9">
        <v>64</v>
      </c>
      <c r="CJ22">
        <v>29.632999999999999</v>
      </c>
      <c r="CK22" s="9">
        <v>56</v>
      </c>
      <c r="CL22">
        <v>67.5</v>
      </c>
      <c r="CM22">
        <v>34.817</v>
      </c>
    </row>
    <row r="23" spans="1:91" x14ac:dyDescent="0.25">
      <c r="A23" s="345"/>
      <c r="B23" s="98" t="s">
        <v>40</v>
      </c>
      <c r="C23" s="98" t="s">
        <v>6</v>
      </c>
      <c r="D23" s="98">
        <f>49+22/60</f>
        <v>49.366666666666667</v>
      </c>
      <c r="E23" s="98">
        <v>40.4</v>
      </c>
      <c r="F23" s="98">
        <f>33+29/60</f>
        <v>33.483333333333334</v>
      </c>
      <c r="G23" s="98">
        <v>34.866999999999997</v>
      </c>
      <c r="H23" s="98">
        <v>27</v>
      </c>
      <c r="I23" s="98">
        <f>35+31/60</f>
        <v>35.516666666666666</v>
      </c>
      <c r="J23" s="98">
        <f>59+33/60</f>
        <v>59.55</v>
      </c>
      <c r="K23" s="98">
        <v>49.283000000000001</v>
      </c>
      <c r="L23" s="98">
        <v>30.317</v>
      </c>
      <c r="M23" s="98">
        <v>44.5</v>
      </c>
      <c r="N23" s="100">
        <v>38.950000000000003</v>
      </c>
      <c r="O23" s="100">
        <v>26.25</v>
      </c>
      <c r="P23" s="105">
        <v>44.832999999999998</v>
      </c>
      <c r="Q23" s="100">
        <v>51</v>
      </c>
      <c r="R23" s="101">
        <v>20.75</v>
      </c>
      <c r="S23" s="102">
        <v>19.995999999999999</v>
      </c>
      <c r="T23" s="101">
        <v>37.667000000000002</v>
      </c>
      <c r="U23" s="101">
        <v>40.5</v>
      </c>
      <c r="V23" s="101">
        <v>67.483000000000004</v>
      </c>
      <c r="W23" s="101">
        <v>35.950000000000003</v>
      </c>
      <c r="X23" s="101">
        <v>33.75</v>
      </c>
      <c r="Y23" s="101">
        <v>57.883000000000003</v>
      </c>
      <c r="Z23" s="101">
        <v>33.35</v>
      </c>
      <c r="AA23" s="97">
        <v>16.433</v>
      </c>
      <c r="AB23" s="97">
        <v>58.25</v>
      </c>
      <c r="AC23" s="97">
        <v>28.222000000000001</v>
      </c>
      <c r="AD23" s="97">
        <v>24.878</v>
      </c>
      <c r="AE23" s="104">
        <f>AE22</f>
        <v>50.267000000000003</v>
      </c>
      <c r="AF23" s="97">
        <v>46.616999999999997</v>
      </c>
      <c r="AG23" s="97">
        <v>36.783000000000001</v>
      </c>
      <c r="AH23" s="97">
        <v>32.633000000000003</v>
      </c>
      <c r="AI23" s="97">
        <v>46</v>
      </c>
      <c r="AJ23" s="97">
        <v>55.783000000000001</v>
      </c>
      <c r="AK23" s="97">
        <v>40.25</v>
      </c>
      <c r="AL23" s="97">
        <v>55.116999999999997</v>
      </c>
      <c r="AM23" s="97">
        <v>39.450000000000003</v>
      </c>
      <c r="AN23" s="97">
        <v>39.9</v>
      </c>
      <c r="AO23" s="97">
        <v>44.582999999999998</v>
      </c>
      <c r="AP23" s="97">
        <v>34.4</v>
      </c>
      <c r="AQ23" s="97">
        <v>26.332999999999998</v>
      </c>
      <c r="AR23" s="97">
        <v>38.700000000000003</v>
      </c>
      <c r="AS23" s="97">
        <v>61.832999999999998</v>
      </c>
      <c r="AT23" s="97">
        <v>43.9</v>
      </c>
      <c r="AU23" s="97">
        <v>43.033299999999997</v>
      </c>
      <c r="AV23" s="97">
        <v>22.384</v>
      </c>
      <c r="AW23" s="97">
        <v>52.366999999999997</v>
      </c>
      <c r="AX23">
        <v>68</v>
      </c>
      <c r="AY23" s="97">
        <v>30.332999999999998</v>
      </c>
      <c r="AZ23" s="97">
        <v>57.683</v>
      </c>
      <c r="BA23" s="97">
        <v>60.866999999999997</v>
      </c>
      <c r="BB23" s="97">
        <v>23.132999999999999</v>
      </c>
      <c r="BC23" s="97">
        <v>47.517000000000003</v>
      </c>
      <c r="BD23" s="97">
        <v>46.75</v>
      </c>
      <c r="BE23" s="97">
        <v>34</v>
      </c>
      <c r="BF23" s="97">
        <v>34.5</v>
      </c>
      <c r="BG23" s="97">
        <v>56.866999999999997</v>
      </c>
      <c r="BH23" s="97">
        <v>37.232999999999997</v>
      </c>
      <c r="BI23" s="97">
        <v>21.838999999999999</v>
      </c>
      <c r="BJ23" s="97">
        <v>26.766999999999999</v>
      </c>
      <c r="BK23" s="97">
        <v>15.35</v>
      </c>
      <c r="BL23" s="97">
        <v>43.000999999999998</v>
      </c>
      <c r="BM23" s="97">
        <v>22.382999999999999</v>
      </c>
      <c r="BN23" s="97">
        <v>31.567</v>
      </c>
      <c r="BO23" s="97">
        <v>30.45</v>
      </c>
      <c r="BP23" s="97">
        <v>72.667000000000002</v>
      </c>
      <c r="BQ23" s="97">
        <v>30.667000000000002</v>
      </c>
      <c r="BR23" s="97">
        <v>35.167000000000002</v>
      </c>
      <c r="BS23" s="97">
        <v>47.9</v>
      </c>
      <c r="BT23" s="97">
        <v>50.183</v>
      </c>
      <c r="BU23" s="97">
        <v>76.433000000000007</v>
      </c>
      <c r="BV23">
        <v>46.15</v>
      </c>
      <c r="BW23">
        <v>54.65</v>
      </c>
      <c r="BX23">
        <v>18.350000000000001</v>
      </c>
      <c r="BY23">
        <v>9.3670000000000009</v>
      </c>
      <c r="BZ23">
        <v>39.832999999999998</v>
      </c>
      <c r="CA23">
        <v>7.9169999999999998</v>
      </c>
      <c r="CB23" s="109">
        <f>CB22</f>
        <v>50.9</v>
      </c>
      <c r="CC23">
        <v>51.267000000000003</v>
      </c>
      <c r="CD23">
        <v>45.95</v>
      </c>
      <c r="CE23">
        <v>17.332999999999998</v>
      </c>
      <c r="CF23">
        <v>20.100000000000001</v>
      </c>
      <c r="CG23">
        <v>55.033299999999997</v>
      </c>
      <c r="CH23">
        <v>30.667000000000002</v>
      </c>
      <c r="CI23" s="9">
        <v>69</v>
      </c>
      <c r="CJ23">
        <v>33.633000000000003</v>
      </c>
      <c r="CK23" s="9">
        <v>57</v>
      </c>
      <c r="CL23">
        <v>70.55</v>
      </c>
      <c r="CM23" s="9">
        <v>37.799999999999997</v>
      </c>
    </row>
    <row r="24" spans="1:91" x14ac:dyDescent="0.25">
      <c r="A24" s="345"/>
      <c r="B24" s="98" t="s">
        <v>41</v>
      </c>
      <c r="C24" s="98" t="s">
        <v>3</v>
      </c>
      <c r="D24" s="98">
        <f>1+52/60</f>
        <v>1.8666666666666667</v>
      </c>
      <c r="E24" s="98">
        <v>1.05</v>
      </c>
      <c r="F24" s="98">
        <v>2</v>
      </c>
      <c r="G24" s="98">
        <v>0.5</v>
      </c>
      <c r="H24" s="98">
        <v>0.5</v>
      </c>
      <c r="I24" s="98">
        <f>2+1/60</f>
        <v>2.0166666666666666</v>
      </c>
      <c r="J24" s="98">
        <f t="shared" ref="J24:J29" si="1">1+42/60</f>
        <v>1.7</v>
      </c>
      <c r="K24" s="98">
        <v>2.9</v>
      </c>
      <c r="L24" s="98">
        <v>1.0740000000000001</v>
      </c>
      <c r="M24" s="98">
        <v>2</v>
      </c>
      <c r="N24" s="100">
        <v>0.93300000000000005</v>
      </c>
      <c r="O24" s="100">
        <v>2.3330000000000002</v>
      </c>
      <c r="P24" s="100">
        <v>0.45</v>
      </c>
      <c r="Q24" s="100">
        <v>1.617</v>
      </c>
      <c r="R24" s="101">
        <v>1.9</v>
      </c>
      <c r="S24" s="101">
        <v>0.76300000000000001</v>
      </c>
      <c r="T24" s="101">
        <v>0.58299999999999996</v>
      </c>
      <c r="U24" s="101">
        <v>1.3</v>
      </c>
      <c r="V24" s="101">
        <v>2.8</v>
      </c>
      <c r="W24" s="101">
        <v>1.367</v>
      </c>
      <c r="X24" s="101">
        <v>0.88300000000000001</v>
      </c>
      <c r="Y24" s="101">
        <v>0.98299999999999998</v>
      </c>
      <c r="Z24" s="101">
        <v>1.208</v>
      </c>
      <c r="AA24" s="97">
        <v>3.9</v>
      </c>
      <c r="AB24" s="97">
        <v>1.1830000000000001</v>
      </c>
      <c r="AC24" s="97">
        <v>0.106</v>
      </c>
      <c r="AD24" s="97">
        <v>0.316</v>
      </c>
      <c r="AE24" s="97">
        <v>3.383</v>
      </c>
      <c r="AF24" s="97">
        <v>1.7669999999999999</v>
      </c>
      <c r="AG24" s="97">
        <v>0.25</v>
      </c>
      <c r="AH24" s="97">
        <v>1.167</v>
      </c>
      <c r="AI24" s="97">
        <v>4.25</v>
      </c>
      <c r="AJ24" s="97">
        <v>1.9830000000000001</v>
      </c>
      <c r="AK24" s="97">
        <v>0.5</v>
      </c>
      <c r="AL24" s="97">
        <v>2.4</v>
      </c>
      <c r="AM24" s="97">
        <v>1.1000000000000001</v>
      </c>
      <c r="AN24" s="97">
        <v>6.7</v>
      </c>
      <c r="AO24" s="97">
        <v>2.6</v>
      </c>
      <c r="AP24" s="97">
        <v>1.4</v>
      </c>
      <c r="AQ24" s="97">
        <v>1.167</v>
      </c>
      <c r="AR24" s="97">
        <v>1.4330000000000001</v>
      </c>
      <c r="AS24" s="97">
        <v>2.286</v>
      </c>
      <c r="AT24" s="97">
        <v>0.93300000000000005</v>
      </c>
      <c r="AU24" s="97">
        <v>1.117</v>
      </c>
      <c r="AV24" s="97">
        <v>3.9969999999999999</v>
      </c>
      <c r="AW24" s="97">
        <v>1.75</v>
      </c>
      <c r="AX24">
        <v>1.5</v>
      </c>
      <c r="AY24" s="97">
        <v>1</v>
      </c>
      <c r="AZ24" s="97">
        <v>1.583</v>
      </c>
      <c r="BA24" s="97">
        <v>1.667</v>
      </c>
      <c r="BB24" s="97">
        <v>2.75</v>
      </c>
      <c r="BC24" s="97">
        <v>1.583</v>
      </c>
      <c r="BD24" s="97">
        <v>1.4830000000000001</v>
      </c>
      <c r="BE24" s="97">
        <v>1.3</v>
      </c>
      <c r="BF24" s="97">
        <v>1.2170000000000001</v>
      </c>
      <c r="BG24" s="97">
        <v>2.9340000000000002</v>
      </c>
      <c r="BH24" s="97">
        <v>1.6</v>
      </c>
      <c r="BI24" s="97">
        <v>0.59399999999999997</v>
      </c>
      <c r="BJ24" s="97">
        <v>1.367</v>
      </c>
      <c r="BK24" s="97">
        <v>1.2829999999999999</v>
      </c>
      <c r="BL24" s="97">
        <v>1.3</v>
      </c>
      <c r="BM24" s="104">
        <v>0</v>
      </c>
      <c r="BN24" s="97">
        <v>1.917</v>
      </c>
      <c r="BO24" s="97">
        <v>1.867</v>
      </c>
      <c r="BP24" s="97">
        <v>4.37</v>
      </c>
      <c r="BQ24" s="97">
        <v>1.167</v>
      </c>
      <c r="BR24" s="97">
        <v>1.333</v>
      </c>
      <c r="BS24" s="97">
        <v>1.698</v>
      </c>
      <c r="BT24" s="97">
        <v>1.05</v>
      </c>
      <c r="BU24" s="104">
        <v>0</v>
      </c>
      <c r="BV24">
        <v>10.5</v>
      </c>
      <c r="BW24" s="104">
        <v>0</v>
      </c>
      <c r="BX24">
        <v>0.2</v>
      </c>
      <c r="BY24">
        <v>0.05</v>
      </c>
      <c r="BZ24">
        <v>1.4</v>
      </c>
      <c r="CA24">
        <v>0.45</v>
      </c>
      <c r="CB24">
        <v>6.5830000000000002</v>
      </c>
      <c r="CC24">
        <v>1.8</v>
      </c>
      <c r="CD24">
        <v>1.1000000000000001</v>
      </c>
      <c r="CE24">
        <v>0.33300000000000002</v>
      </c>
      <c r="CF24">
        <v>1.4</v>
      </c>
      <c r="CG24">
        <v>2.8330000000000002</v>
      </c>
      <c r="CH24" s="9">
        <v>3</v>
      </c>
      <c r="CI24">
        <v>1.7</v>
      </c>
      <c r="CJ24">
        <v>0.88300000000000001</v>
      </c>
      <c r="CK24">
        <v>1.167</v>
      </c>
      <c r="CL24">
        <v>1.1060000000000001</v>
      </c>
      <c r="CM24">
        <v>2.3330000000000002</v>
      </c>
    </row>
    <row r="25" spans="1:91" x14ac:dyDescent="0.25">
      <c r="A25" s="345"/>
      <c r="B25" s="98" t="s">
        <v>42</v>
      </c>
      <c r="C25" s="98" t="s">
        <v>3</v>
      </c>
      <c r="D25" s="98">
        <f>3+25/60</f>
        <v>3.4166666666666665</v>
      </c>
      <c r="E25" s="98">
        <v>1.833</v>
      </c>
      <c r="F25" s="98">
        <f>F24+2+15/60</f>
        <v>4.25</v>
      </c>
      <c r="G25" s="98">
        <v>1.083</v>
      </c>
      <c r="H25" s="98">
        <v>1.917</v>
      </c>
      <c r="I25" s="98">
        <f>2+33/60</f>
        <v>2.5499999999999998</v>
      </c>
      <c r="J25" s="103">
        <f t="shared" si="1"/>
        <v>1.7</v>
      </c>
      <c r="K25" s="98">
        <v>4.2329999999999997</v>
      </c>
      <c r="L25" s="98">
        <v>1.534</v>
      </c>
      <c r="M25" s="98">
        <v>6</v>
      </c>
      <c r="N25" s="105">
        <f t="shared" ref="N25:N30" si="2">N24</f>
        <v>0.93300000000000005</v>
      </c>
      <c r="O25" s="100">
        <v>4.75</v>
      </c>
      <c r="P25" s="100">
        <v>1.55</v>
      </c>
      <c r="Q25" s="100">
        <v>3.5169999999999999</v>
      </c>
      <c r="R25" s="101">
        <v>3</v>
      </c>
      <c r="S25" s="101">
        <v>1.2829999999999999</v>
      </c>
      <c r="T25" s="101">
        <v>1.1000000000000001</v>
      </c>
      <c r="U25" s="101">
        <v>3.0169999999999999</v>
      </c>
      <c r="V25" s="101">
        <v>3.7170000000000001</v>
      </c>
      <c r="W25" s="101">
        <v>1.7330000000000001</v>
      </c>
      <c r="X25" s="101">
        <v>2.8</v>
      </c>
      <c r="Y25" s="101">
        <v>1.5669999999999999</v>
      </c>
      <c r="Z25" s="101">
        <v>1.8169999999999999</v>
      </c>
      <c r="AA25" s="97">
        <v>4.1669999999999998</v>
      </c>
      <c r="AB25" s="97">
        <v>2</v>
      </c>
      <c r="AC25" s="97">
        <v>0.83399999999999996</v>
      </c>
      <c r="AD25" s="97">
        <v>1.869</v>
      </c>
      <c r="AE25" s="97">
        <v>4.6539999999999999</v>
      </c>
      <c r="AF25" s="97">
        <v>2.65</v>
      </c>
      <c r="AG25" s="97">
        <v>0.63300000000000001</v>
      </c>
      <c r="AH25" s="97">
        <v>3.7</v>
      </c>
      <c r="AI25" s="97">
        <v>6.25</v>
      </c>
      <c r="AJ25" s="97">
        <v>3.5</v>
      </c>
      <c r="AK25" s="97">
        <v>2.8330000000000002</v>
      </c>
      <c r="AL25" s="97">
        <v>3.9</v>
      </c>
      <c r="AM25" s="97">
        <v>1.4670000000000001</v>
      </c>
      <c r="AN25" s="97">
        <v>8.7330000000000005</v>
      </c>
      <c r="AO25" s="97">
        <v>3.633</v>
      </c>
      <c r="AP25" s="97">
        <v>2.4</v>
      </c>
      <c r="AQ25" s="97">
        <v>1.75</v>
      </c>
      <c r="AR25" s="97">
        <v>1.917</v>
      </c>
      <c r="AS25" s="97">
        <v>3.3029999999999999</v>
      </c>
      <c r="AT25" s="97">
        <v>1.2669999999999999</v>
      </c>
      <c r="AU25" s="97">
        <v>2.2829999999999999</v>
      </c>
      <c r="AV25" s="97">
        <v>8.9480000000000004</v>
      </c>
      <c r="AW25" s="97">
        <v>2.35</v>
      </c>
      <c r="AX25">
        <v>2</v>
      </c>
      <c r="AY25" s="97">
        <v>2</v>
      </c>
      <c r="AZ25" s="97">
        <v>3.0832999999999999</v>
      </c>
      <c r="BA25" s="97">
        <v>2.0832999999999999</v>
      </c>
      <c r="BB25" s="97">
        <v>5</v>
      </c>
      <c r="BC25" s="97">
        <v>2.25</v>
      </c>
      <c r="BD25" s="97">
        <v>2.4830000000000001</v>
      </c>
      <c r="BE25" s="97">
        <v>1.55</v>
      </c>
      <c r="BF25" s="97">
        <v>2.883</v>
      </c>
      <c r="BG25" s="97">
        <v>3.355</v>
      </c>
      <c r="BH25" s="97">
        <v>2.2330000000000001</v>
      </c>
      <c r="BI25" s="97">
        <v>1.8819999999999999</v>
      </c>
      <c r="BJ25" s="97">
        <v>2.6</v>
      </c>
      <c r="BK25" s="97">
        <v>1.4670000000000001</v>
      </c>
      <c r="BL25" s="97">
        <v>1.873</v>
      </c>
      <c r="BM25" s="104">
        <v>0</v>
      </c>
      <c r="BN25" s="97">
        <v>3.4169999999999998</v>
      </c>
      <c r="BO25" s="97">
        <v>2</v>
      </c>
      <c r="BP25" s="97">
        <v>8.3149999999999995</v>
      </c>
      <c r="BQ25" s="97">
        <v>2</v>
      </c>
      <c r="BR25" s="97">
        <v>1.8</v>
      </c>
      <c r="BS25" s="97">
        <v>1.881</v>
      </c>
      <c r="BT25" s="97">
        <v>1.65</v>
      </c>
      <c r="BU25" s="97">
        <v>0.66700000000000004</v>
      </c>
      <c r="BV25">
        <v>11.1</v>
      </c>
      <c r="BW25" s="104">
        <f t="shared" ref="BW25:BW31" si="3">BW24</f>
        <v>0</v>
      </c>
      <c r="BX25">
        <v>0.7</v>
      </c>
      <c r="BY25">
        <v>0.5</v>
      </c>
      <c r="BZ25">
        <v>1.9</v>
      </c>
      <c r="CA25">
        <v>0.55000000000000004</v>
      </c>
      <c r="CB25">
        <v>7.617</v>
      </c>
      <c r="CC25">
        <v>2.5329999999999999</v>
      </c>
      <c r="CD25">
        <v>1.5169999999999999</v>
      </c>
      <c r="CE25">
        <v>0.58299999999999996</v>
      </c>
      <c r="CF25">
        <v>2.1669999999999998</v>
      </c>
      <c r="CG25">
        <v>3.7330000000000001</v>
      </c>
      <c r="CH25">
        <v>4.05</v>
      </c>
      <c r="CI25">
        <v>2.2000000000000002</v>
      </c>
      <c r="CJ25">
        <v>0.96699999999999997</v>
      </c>
      <c r="CK25">
        <v>2.1669999999999998</v>
      </c>
      <c r="CL25">
        <v>1.671</v>
      </c>
      <c r="CM25">
        <v>4.1500000000000004</v>
      </c>
    </row>
    <row r="26" spans="1:91" x14ac:dyDescent="0.25">
      <c r="A26" s="345"/>
      <c r="B26" s="98" t="s">
        <v>43</v>
      </c>
      <c r="C26" s="98" t="s">
        <v>3</v>
      </c>
      <c r="D26" s="98">
        <f>4+1/60</f>
        <v>4.0166666666666666</v>
      </c>
      <c r="E26" s="98">
        <v>2.2330000000000001</v>
      </c>
      <c r="F26" s="98">
        <f>F25+2+10/60</f>
        <v>6.416666666666667</v>
      </c>
      <c r="G26" s="98">
        <v>1.3</v>
      </c>
      <c r="H26" s="98">
        <v>2.5499999999999998</v>
      </c>
      <c r="I26" s="98">
        <f>2+58/60</f>
        <v>2.9666666666666668</v>
      </c>
      <c r="J26" s="103">
        <f t="shared" si="1"/>
        <v>1.7</v>
      </c>
      <c r="K26" s="98">
        <v>4.867</v>
      </c>
      <c r="L26" s="98">
        <v>1.754</v>
      </c>
      <c r="M26" s="98">
        <v>7</v>
      </c>
      <c r="N26" s="105">
        <f t="shared" si="2"/>
        <v>0.93300000000000005</v>
      </c>
      <c r="O26" s="100">
        <v>5.9169999999999998</v>
      </c>
      <c r="P26" s="100">
        <v>1.7829999999999999</v>
      </c>
      <c r="Q26" s="100">
        <v>4.0833000000000004</v>
      </c>
      <c r="R26" s="101">
        <v>3.8330000000000002</v>
      </c>
      <c r="S26" s="101">
        <v>1.55</v>
      </c>
      <c r="T26" s="101">
        <v>1.917</v>
      </c>
      <c r="U26" s="101">
        <v>3.8</v>
      </c>
      <c r="V26" s="101">
        <v>4.3</v>
      </c>
      <c r="W26" s="101">
        <v>1.9830000000000001</v>
      </c>
      <c r="X26" s="101">
        <v>4.7670000000000003</v>
      </c>
      <c r="Y26" s="101">
        <v>2</v>
      </c>
      <c r="Z26" s="101">
        <v>2.133</v>
      </c>
      <c r="AA26" s="97">
        <v>5.45</v>
      </c>
      <c r="AB26" s="97">
        <v>2.8</v>
      </c>
      <c r="AC26" s="97">
        <v>1.234</v>
      </c>
      <c r="AD26" s="97">
        <v>2.1720000000000002</v>
      </c>
      <c r="AE26" s="97">
        <v>5.173</v>
      </c>
      <c r="AF26" s="97">
        <v>3.05</v>
      </c>
      <c r="AG26" s="97">
        <v>0.83299999999999996</v>
      </c>
      <c r="AH26" s="97">
        <v>4.7830000000000004</v>
      </c>
      <c r="AI26" s="97">
        <v>6.3</v>
      </c>
      <c r="AJ26" s="97">
        <v>3.9670000000000001</v>
      </c>
      <c r="AK26" s="97">
        <v>3.8330000000000002</v>
      </c>
      <c r="AL26" s="97">
        <v>4.95</v>
      </c>
      <c r="AM26" s="97">
        <v>2.0167000000000002</v>
      </c>
      <c r="AN26" s="97">
        <v>9.3829999999999991</v>
      </c>
      <c r="AO26" s="97">
        <v>5.3330000000000002</v>
      </c>
      <c r="AP26" s="97">
        <v>2.9830000000000001</v>
      </c>
      <c r="AQ26" s="97">
        <v>2.0167000000000002</v>
      </c>
      <c r="AR26" s="97">
        <v>2.6</v>
      </c>
      <c r="AS26" s="97">
        <v>3.7050000000000001</v>
      </c>
      <c r="AT26" s="97">
        <v>1.5669999999999999</v>
      </c>
      <c r="AU26" s="97">
        <v>3.4670000000000001</v>
      </c>
      <c r="AV26" s="97">
        <v>9.2129999999999992</v>
      </c>
      <c r="AW26" s="97">
        <v>2.9830000000000001</v>
      </c>
      <c r="AX26">
        <v>2.25</v>
      </c>
      <c r="AY26" s="97">
        <v>2.5</v>
      </c>
      <c r="AZ26" s="97">
        <v>3.2330000000000001</v>
      </c>
      <c r="BA26" s="97">
        <v>3.2829999999999999</v>
      </c>
      <c r="BB26" s="97">
        <v>5.5830000000000002</v>
      </c>
      <c r="BC26" s="97">
        <v>3.367</v>
      </c>
      <c r="BD26" s="97">
        <v>3.55</v>
      </c>
      <c r="BE26" s="97">
        <v>3.9169999999999998</v>
      </c>
      <c r="BF26" s="97">
        <v>3.7170000000000001</v>
      </c>
      <c r="BG26" s="97">
        <v>4.4850000000000003</v>
      </c>
      <c r="BH26" s="97">
        <v>2.6669999999999998</v>
      </c>
      <c r="BI26" s="97">
        <v>2.806</v>
      </c>
      <c r="BJ26" s="97">
        <v>3.617</v>
      </c>
      <c r="BK26" s="97">
        <v>1.617</v>
      </c>
      <c r="BL26" s="97">
        <v>2.0552000000000001</v>
      </c>
      <c r="BM26" s="104">
        <v>0</v>
      </c>
      <c r="BN26" s="97">
        <v>4.867</v>
      </c>
      <c r="BO26" s="97">
        <v>2.3170000000000002</v>
      </c>
      <c r="BP26" s="97">
        <v>8.6199999999999992</v>
      </c>
      <c r="BQ26" s="97">
        <v>2.5169999999999999</v>
      </c>
      <c r="BR26" s="97">
        <v>2.0333000000000001</v>
      </c>
      <c r="BS26" s="97">
        <v>2.0034999999999998</v>
      </c>
      <c r="BT26" s="97">
        <v>1.833</v>
      </c>
      <c r="BU26" s="97">
        <v>1.1000000000000001</v>
      </c>
      <c r="BV26">
        <v>11.367000000000001</v>
      </c>
      <c r="BW26" s="104">
        <f t="shared" si="3"/>
        <v>0</v>
      </c>
      <c r="BX26">
        <v>1.5</v>
      </c>
      <c r="BY26">
        <v>0.66700000000000004</v>
      </c>
      <c r="BZ26">
        <v>2.35</v>
      </c>
      <c r="CA26">
        <v>0.68300000000000005</v>
      </c>
      <c r="CB26">
        <v>8.7170000000000005</v>
      </c>
      <c r="CC26">
        <v>2.85</v>
      </c>
      <c r="CD26">
        <v>1.8</v>
      </c>
      <c r="CE26">
        <v>0.68300000000000005</v>
      </c>
      <c r="CF26">
        <v>3.6669999999999998</v>
      </c>
      <c r="CG26">
        <v>4.4329999999999998</v>
      </c>
      <c r="CH26">
        <v>4.7329999999999997</v>
      </c>
      <c r="CI26">
        <v>2.7</v>
      </c>
      <c r="CJ26">
        <v>1.2</v>
      </c>
      <c r="CK26">
        <v>3.1669999999999998</v>
      </c>
      <c r="CL26">
        <v>2.391</v>
      </c>
      <c r="CM26">
        <v>6.8170000000000002</v>
      </c>
    </row>
    <row r="27" spans="1:91" x14ac:dyDescent="0.25">
      <c r="A27" s="345"/>
      <c r="B27" s="98" t="s">
        <v>44</v>
      </c>
      <c r="C27" s="98" t="s">
        <v>3</v>
      </c>
      <c r="D27" s="98">
        <f>4+31/60</f>
        <v>4.5166666666666666</v>
      </c>
      <c r="E27" s="98">
        <v>2.9169999999999998</v>
      </c>
      <c r="F27" s="98">
        <f>F26+2+3/60</f>
        <v>8.4666666666666686</v>
      </c>
      <c r="G27" s="98">
        <v>1.65</v>
      </c>
      <c r="H27" s="98">
        <v>3.35</v>
      </c>
      <c r="I27" s="98">
        <f>3+33/60</f>
        <v>3.55</v>
      </c>
      <c r="J27" s="103">
        <f t="shared" si="1"/>
        <v>1.7</v>
      </c>
      <c r="K27" s="98">
        <v>6.2</v>
      </c>
      <c r="L27" s="98">
        <v>1.9279999999999999</v>
      </c>
      <c r="M27" s="98">
        <v>8</v>
      </c>
      <c r="N27" s="105">
        <f t="shared" si="2"/>
        <v>0.93300000000000005</v>
      </c>
      <c r="O27" s="100">
        <v>7.0833000000000004</v>
      </c>
      <c r="P27" s="100">
        <v>2.0832999999999999</v>
      </c>
      <c r="Q27" s="100">
        <v>4.367</v>
      </c>
      <c r="R27" s="101">
        <v>5</v>
      </c>
      <c r="S27" s="101">
        <v>2.0468000000000002</v>
      </c>
      <c r="T27" s="101">
        <v>2.5499999999999998</v>
      </c>
      <c r="U27" s="101">
        <v>4.5</v>
      </c>
      <c r="V27" s="101">
        <v>4.883</v>
      </c>
      <c r="W27" s="101">
        <v>2.2170000000000001</v>
      </c>
      <c r="X27" s="101">
        <v>5.367</v>
      </c>
      <c r="Y27" s="101">
        <v>2.5830000000000002</v>
      </c>
      <c r="Z27" s="101">
        <v>2.9329999999999998</v>
      </c>
      <c r="AA27" s="97">
        <v>6.7830000000000004</v>
      </c>
      <c r="AB27" s="97">
        <v>3.4169999999999998</v>
      </c>
      <c r="AC27" s="97">
        <v>2.33</v>
      </c>
      <c r="AD27" s="97">
        <v>2.73</v>
      </c>
      <c r="AE27" s="97">
        <v>6</v>
      </c>
      <c r="AF27" s="97">
        <v>3.5</v>
      </c>
      <c r="AG27" s="97">
        <v>1.2669999999999999</v>
      </c>
      <c r="AH27" s="97">
        <v>6.0167000000000002</v>
      </c>
      <c r="AI27" s="97">
        <v>6.5330000000000004</v>
      </c>
      <c r="AJ27" s="97">
        <v>5.35</v>
      </c>
      <c r="AK27" s="97">
        <v>6.3330000000000002</v>
      </c>
      <c r="AL27" s="97">
        <v>5.7830000000000004</v>
      </c>
      <c r="AM27" s="97">
        <v>2.65</v>
      </c>
      <c r="AN27" s="97">
        <v>10.033300000000001</v>
      </c>
      <c r="AO27" s="97">
        <v>5.633</v>
      </c>
      <c r="AP27" s="97">
        <v>4.2830000000000004</v>
      </c>
      <c r="AQ27" s="97">
        <v>2.8330000000000002</v>
      </c>
      <c r="AR27" s="97">
        <v>2.9329999999999998</v>
      </c>
      <c r="AS27" s="97">
        <v>4.2869999999999999</v>
      </c>
      <c r="AT27" s="97">
        <v>2.0667</v>
      </c>
      <c r="AU27" s="97">
        <v>4.3170000000000002</v>
      </c>
      <c r="AV27" s="97">
        <v>9.64</v>
      </c>
      <c r="AW27" s="97">
        <v>3.5830000000000002</v>
      </c>
      <c r="AX27">
        <v>4.25</v>
      </c>
      <c r="AY27" s="97">
        <v>3</v>
      </c>
      <c r="AZ27" s="97">
        <v>3.5670000000000002</v>
      </c>
      <c r="BA27" s="97">
        <v>3.7829999999999999</v>
      </c>
      <c r="BB27" s="97">
        <v>6.25</v>
      </c>
      <c r="BC27" s="97">
        <v>4.133</v>
      </c>
      <c r="BD27" s="97">
        <v>4.1500000000000004</v>
      </c>
      <c r="BE27" s="97">
        <v>7.0833000000000004</v>
      </c>
      <c r="BF27" s="97">
        <v>4.6669999999999998</v>
      </c>
      <c r="BG27" s="97">
        <v>5.7050000000000001</v>
      </c>
      <c r="BH27" s="97">
        <v>3.25</v>
      </c>
      <c r="BI27" s="97">
        <v>3.6880000000000002</v>
      </c>
      <c r="BJ27" s="97">
        <v>6.4</v>
      </c>
      <c r="BK27" s="97">
        <v>1.7669999999999999</v>
      </c>
      <c r="BL27" s="97">
        <v>2.2170000000000001</v>
      </c>
      <c r="BM27" s="104">
        <v>0</v>
      </c>
      <c r="BN27" s="97">
        <v>6.367</v>
      </c>
      <c r="BO27" s="97">
        <v>2.6829999999999998</v>
      </c>
      <c r="BP27" s="97">
        <v>8.98</v>
      </c>
      <c r="BQ27" s="97">
        <v>3.35</v>
      </c>
      <c r="BR27" s="97">
        <v>2.7</v>
      </c>
      <c r="BS27" s="97">
        <v>2.1760000000000002</v>
      </c>
      <c r="BT27" s="97">
        <v>2.0167000000000002</v>
      </c>
      <c r="BU27" s="97">
        <v>2.0333000000000001</v>
      </c>
      <c r="BV27">
        <v>11.683</v>
      </c>
      <c r="BW27" s="104">
        <f t="shared" si="3"/>
        <v>0</v>
      </c>
      <c r="BX27">
        <v>2.2000000000000002</v>
      </c>
      <c r="BY27">
        <v>1.0832999999999999</v>
      </c>
      <c r="BZ27">
        <v>2.8170000000000002</v>
      </c>
      <c r="CA27">
        <v>1.2170000000000001</v>
      </c>
      <c r="CB27">
        <v>9.8330000000000002</v>
      </c>
      <c r="CC27">
        <v>4.0833000000000004</v>
      </c>
      <c r="CD27">
        <v>2.0499999999999998</v>
      </c>
      <c r="CE27">
        <v>0.78300000000000003</v>
      </c>
      <c r="CF27">
        <v>5.6</v>
      </c>
      <c r="CG27">
        <v>5.2830000000000004</v>
      </c>
      <c r="CH27">
        <v>5.5</v>
      </c>
      <c r="CI27">
        <v>3.3330000000000002</v>
      </c>
      <c r="CJ27">
        <v>1.583</v>
      </c>
      <c r="CK27">
        <v>3.75</v>
      </c>
      <c r="CL27">
        <v>2.8039999999999998</v>
      </c>
      <c r="CM27">
        <v>7.117</v>
      </c>
    </row>
    <row r="28" spans="1:91" x14ac:dyDescent="0.25">
      <c r="A28" s="345"/>
      <c r="B28" s="98" t="s">
        <v>45</v>
      </c>
      <c r="C28" s="98" t="s">
        <v>3</v>
      </c>
      <c r="D28" s="98">
        <f>5+56/60</f>
        <v>5.9333333333333336</v>
      </c>
      <c r="E28" s="98">
        <v>3.8</v>
      </c>
      <c r="F28" s="98">
        <f>F27+2+2/60</f>
        <v>10.500000000000002</v>
      </c>
      <c r="G28" s="98">
        <v>1.9330000000000001</v>
      </c>
      <c r="H28" s="98">
        <v>3.6669999999999998</v>
      </c>
      <c r="I28" s="98">
        <f>4+15/60</f>
        <v>4.25</v>
      </c>
      <c r="J28" s="103">
        <f t="shared" si="1"/>
        <v>1.7</v>
      </c>
      <c r="K28" s="98">
        <v>6.7</v>
      </c>
      <c r="L28" s="98">
        <v>2.2869999999999999</v>
      </c>
      <c r="M28" s="98">
        <v>10</v>
      </c>
      <c r="N28" s="105">
        <f t="shared" si="2"/>
        <v>0.93300000000000005</v>
      </c>
      <c r="O28" s="100">
        <v>7.8330000000000002</v>
      </c>
      <c r="P28" s="100">
        <v>2.2170000000000001</v>
      </c>
      <c r="Q28" s="100">
        <v>4.7</v>
      </c>
      <c r="R28" s="101">
        <v>5.867</v>
      </c>
      <c r="S28" s="101">
        <v>2.2519999999999998</v>
      </c>
      <c r="T28" s="101">
        <v>2.9830000000000001</v>
      </c>
      <c r="U28" s="101">
        <v>4.75</v>
      </c>
      <c r="V28" s="101">
        <v>6.65</v>
      </c>
      <c r="W28" s="101">
        <v>2.367</v>
      </c>
      <c r="X28" s="101">
        <v>6.0332999999999997</v>
      </c>
      <c r="Y28" s="101">
        <v>2.7330000000000001</v>
      </c>
      <c r="Z28" s="101">
        <v>3.1669999999999998</v>
      </c>
      <c r="AA28" s="97">
        <v>9.0832999999999995</v>
      </c>
      <c r="AB28" s="97">
        <v>3.9329999999999998</v>
      </c>
      <c r="AC28" s="97">
        <v>3.92</v>
      </c>
      <c r="AD28" s="97">
        <v>3.0537999999999998</v>
      </c>
      <c r="AE28" s="97">
        <v>6.5330000000000004</v>
      </c>
      <c r="AF28" s="97">
        <v>4.05</v>
      </c>
      <c r="AG28" s="97">
        <v>1.5</v>
      </c>
      <c r="AH28" s="97">
        <v>6.9329999999999998</v>
      </c>
      <c r="AI28" s="97">
        <v>6.8</v>
      </c>
      <c r="AJ28" s="97">
        <v>5.6</v>
      </c>
      <c r="AK28" s="97">
        <v>7.5</v>
      </c>
      <c r="AL28" s="97">
        <v>6.8170000000000002</v>
      </c>
      <c r="AM28" s="97">
        <v>2.9</v>
      </c>
      <c r="AN28" s="97">
        <v>10.9</v>
      </c>
      <c r="AO28" s="97">
        <v>6.9329999999999998</v>
      </c>
      <c r="AP28" s="97">
        <v>4.5999999999999996</v>
      </c>
      <c r="AQ28" s="97">
        <v>3.0333000000000001</v>
      </c>
      <c r="AR28" s="97">
        <v>3.4329999999999998</v>
      </c>
      <c r="AS28" s="97">
        <v>4.7569999999999997</v>
      </c>
      <c r="AT28" s="97">
        <v>2.2829999999999999</v>
      </c>
      <c r="AU28" s="97">
        <v>4.6829999999999998</v>
      </c>
      <c r="AV28" s="97">
        <v>9.8320000000000007</v>
      </c>
      <c r="AW28" s="97">
        <v>4.383</v>
      </c>
      <c r="AX28">
        <v>4.75</v>
      </c>
      <c r="AY28" s="97">
        <v>3.5</v>
      </c>
      <c r="AZ28" s="97">
        <v>4</v>
      </c>
      <c r="BA28" s="97">
        <v>4.383</v>
      </c>
      <c r="BB28" s="97">
        <v>6.4829999999999997</v>
      </c>
      <c r="BC28" s="97">
        <v>4.633</v>
      </c>
      <c r="BD28" s="97">
        <v>4.55</v>
      </c>
      <c r="BE28" s="97">
        <v>7.9169999999999998</v>
      </c>
      <c r="BF28" s="97">
        <v>4.9169999999999998</v>
      </c>
      <c r="BG28" s="97">
        <v>6.1740000000000004</v>
      </c>
      <c r="BH28" s="97">
        <v>3.7829999999999999</v>
      </c>
      <c r="BI28" s="97">
        <v>4.4690000000000003</v>
      </c>
      <c r="BJ28" s="97">
        <v>6.9829999999999997</v>
      </c>
      <c r="BK28" s="97">
        <v>1.833</v>
      </c>
      <c r="BL28" s="97">
        <v>3.3220000000000001</v>
      </c>
      <c r="BM28" s="104">
        <v>0</v>
      </c>
      <c r="BN28" s="97">
        <v>7.367</v>
      </c>
      <c r="BO28" s="97">
        <v>3</v>
      </c>
      <c r="BP28" s="97">
        <v>9.6890000000000001</v>
      </c>
      <c r="BQ28" s="97">
        <v>3.5830000000000002</v>
      </c>
      <c r="BR28" s="97">
        <v>3.117</v>
      </c>
      <c r="BS28" s="97">
        <v>2.3660000000000001</v>
      </c>
      <c r="BT28" s="97">
        <v>2.15</v>
      </c>
      <c r="BU28" s="97">
        <v>2.2000000000000002</v>
      </c>
      <c r="BV28">
        <v>12.1</v>
      </c>
      <c r="BW28" s="104">
        <f t="shared" si="3"/>
        <v>0</v>
      </c>
      <c r="BX28">
        <v>3.0832999999999999</v>
      </c>
      <c r="BY28">
        <v>1.8</v>
      </c>
      <c r="BZ28">
        <v>3.25</v>
      </c>
      <c r="CA28">
        <v>1.55</v>
      </c>
      <c r="CB28">
        <v>10.117000000000001</v>
      </c>
      <c r="CC28">
        <v>4.2670000000000003</v>
      </c>
      <c r="CD28">
        <v>2.1829999999999998</v>
      </c>
      <c r="CE28">
        <v>1.2170000000000001</v>
      </c>
      <c r="CF28">
        <v>7.9829999999999997</v>
      </c>
      <c r="CG28">
        <v>5.5</v>
      </c>
      <c r="CH28">
        <v>5.8330000000000002</v>
      </c>
      <c r="CI28" s="9">
        <v>4</v>
      </c>
      <c r="CJ28">
        <v>1.7170000000000001</v>
      </c>
      <c r="CK28" s="9">
        <v>4</v>
      </c>
      <c r="CL28">
        <v>2.9220000000000002</v>
      </c>
      <c r="CM28" s="9">
        <v>7.3170000000000002</v>
      </c>
    </row>
    <row r="29" spans="1:91" x14ac:dyDescent="0.25">
      <c r="A29" s="345"/>
      <c r="B29" s="98" t="s">
        <v>46</v>
      </c>
      <c r="C29" s="98" t="s">
        <v>3</v>
      </c>
      <c r="D29" s="98">
        <f>7+12/60</f>
        <v>7.2</v>
      </c>
      <c r="E29" s="98">
        <v>4.4669999999999996</v>
      </c>
      <c r="F29" s="98">
        <f>F28+30/60</f>
        <v>11.000000000000002</v>
      </c>
      <c r="G29" s="98">
        <v>2.1829999999999998</v>
      </c>
      <c r="H29" s="98">
        <v>4.0830000000000002</v>
      </c>
      <c r="I29" s="98">
        <f>4+23/60</f>
        <v>4.3833333333333337</v>
      </c>
      <c r="J29" s="103">
        <f t="shared" si="1"/>
        <v>1.7</v>
      </c>
      <c r="K29" s="98">
        <v>7.9829999999999997</v>
      </c>
      <c r="L29" s="98">
        <v>3.1160000000000001</v>
      </c>
      <c r="M29" s="98">
        <v>12</v>
      </c>
      <c r="N29" s="105">
        <f t="shared" si="2"/>
        <v>0.93300000000000005</v>
      </c>
      <c r="O29" s="100">
        <v>8.1669999999999998</v>
      </c>
      <c r="P29" s="100">
        <v>2.6669999999999998</v>
      </c>
      <c r="Q29" s="100">
        <v>5.1669999999999998</v>
      </c>
      <c r="R29" s="101">
        <v>7.0332999999999997</v>
      </c>
      <c r="S29" s="101">
        <v>2.8740000000000001</v>
      </c>
      <c r="T29" s="101">
        <v>3.8330000000000002</v>
      </c>
      <c r="U29" s="101">
        <v>6.05</v>
      </c>
      <c r="V29" s="101">
        <v>10.567</v>
      </c>
      <c r="W29" s="101">
        <v>3.117</v>
      </c>
      <c r="X29" s="101">
        <v>6.55</v>
      </c>
      <c r="Y29" s="101">
        <v>4.0167000000000002</v>
      </c>
      <c r="Z29" s="101">
        <v>3.9</v>
      </c>
      <c r="AA29" s="97">
        <v>9.3330000000000002</v>
      </c>
      <c r="AB29" s="97">
        <v>5.1669999999999998</v>
      </c>
      <c r="AC29" s="97">
        <v>4.2009999999999996</v>
      </c>
      <c r="AD29" s="97">
        <v>3.258</v>
      </c>
      <c r="AE29" s="104">
        <f>AE28</f>
        <v>6.5330000000000004</v>
      </c>
      <c r="AF29" s="97">
        <v>4.5670000000000002</v>
      </c>
      <c r="AG29" s="97">
        <v>2.367</v>
      </c>
      <c r="AH29" s="97">
        <v>7.9329999999999998</v>
      </c>
      <c r="AI29" s="97">
        <v>8.9670000000000005</v>
      </c>
      <c r="AJ29" s="97">
        <v>7.85</v>
      </c>
      <c r="AK29" s="97">
        <v>8</v>
      </c>
      <c r="AL29" s="97">
        <v>7.5170000000000003</v>
      </c>
      <c r="AM29" s="97">
        <v>2.9329999999999998</v>
      </c>
      <c r="AN29" s="97">
        <v>12.833</v>
      </c>
      <c r="AO29" s="97">
        <v>8.2669999999999995</v>
      </c>
      <c r="AP29" s="97">
        <v>5.85</v>
      </c>
      <c r="AQ29" s="97">
        <v>3.5</v>
      </c>
      <c r="AR29" s="97">
        <v>4.55</v>
      </c>
      <c r="AS29" s="97">
        <v>5.4139999999999997</v>
      </c>
      <c r="AT29" s="97">
        <v>2.4500000000000002</v>
      </c>
      <c r="AU29" s="97">
        <v>5.4329999999999998</v>
      </c>
      <c r="AV29" s="97">
        <v>10.337999999999999</v>
      </c>
      <c r="AW29" s="97">
        <v>4.55</v>
      </c>
      <c r="AX29">
        <v>6</v>
      </c>
      <c r="AY29" s="97">
        <v>4</v>
      </c>
      <c r="AZ29" s="97">
        <v>4.2699999999999996</v>
      </c>
      <c r="BA29" s="97">
        <v>4.6669999999999998</v>
      </c>
      <c r="BB29" s="97">
        <v>7.05</v>
      </c>
      <c r="BC29" s="97">
        <v>4.8499999999999996</v>
      </c>
      <c r="BD29" s="97">
        <v>4.7</v>
      </c>
      <c r="BE29" s="97">
        <v>8.2170000000000005</v>
      </c>
      <c r="BF29" s="97">
        <v>5.2169999999999996</v>
      </c>
      <c r="BG29" s="97">
        <v>6.4859999999999998</v>
      </c>
      <c r="BH29" s="97">
        <v>4.6500000000000004</v>
      </c>
      <c r="BI29" s="97">
        <v>5.5679999999999996</v>
      </c>
      <c r="BJ29" s="97">
        <v>8.0333000000000006</v>
      </c>
      <c r="BK29" s="104">
        <f>BK28</f>
        <v>1.833</v>
      </c>
      <c r="BL29" s="97">
        <v>3.782</v>
      </c>
      <c r="BM29" s="104">
        <v>0</v>
      </c>
      <c r="BN29" s="97">
        <v>8.6170000000000009</v>
      </c>
      <c r="BO29" s="97">
        <v>3.5</v>
      </c>
      <c r="BP29" s="97">
        <v>11.308</v>
      </c>
      <c r="BQ29" s="97">
        <v>4.75</v>
      </c>
      <c r="BR29" s="97">
        <v>3.5830000000000002</v>
      </c>
      <c r="BS29" s="97">
        <v>2.4409999999999998</v>
      </c>
      <c r="BT29" s="97">
        <v>3.367</v>
      </c>
      <c r="BU29" s="97">
        <v>2.5169999999999999</v>
      </c>
      <c r="BV29">
        <v>12.35</v>
      </c>
      <c r="BW29" s="104">
        <f t="shared" si="3"/>
        <v>0</v>
      </c>
      <c r="BX29">
        <v>3.367</v>
      </c>
      <c r="BY29">
        <v>1.9670000000000001</v>
      </c>
      <c r="BZ29">
        <v>3.6669999999999998</v>
      </c>
      <c r="CA29">
        <v>1.7669999999999999</v>
      </c>
      <c r="CB29">
        <v>11.617000000000001</v>
      </c>
      <c r="CC29">
        <v>4.8</v>
      </c>
      <c r="CD29">
        <v>2.2000000000000002</v>
      </c>
      <c r="CE29">
        <v>1.583</v>
      </c>
      <c r="CF29">
        <v>8.7330000000000005</v>
      </c>
      <c r="CG29">
        <v>6.1</v>
      </c>
      <c r="CH29">
        <v>15.782999999999999</v>
      </c>
      <c r="CI29" s="9">
        <v>5.25</v>
      </c>
      <c r="CJ29">
        <v>2.2330000000000001</v>
      </c>
      <c r="CK29">
        <v>4.0833000000000004</v>
      </c>
      <c r="CL29">
        <v>3.2229999999999999</v>
      </c>
      <c r="CM29">
        <v>8.9</v>
      </c>
    </row>
    <row r="30" spans="1:91" x14ac:dyDescent="0.25">
      <c r="A30" s="345"/>
      <c r="B30" s="98" t="s">
        <v>47</v>
      </c>
      <c r="C30" s="98" t="s">
        <v>3</v>
      </c>
      <c r="D30" s="98">
        <f>9+47/60</f>
        <v>9.7833333333333332</v>
      </c>
      <c r="E30" s="98">
        <v>5</v>
      </c>
      <c r="F30" s="98">
        <f>F29+1+1/60</f>
        <v>12.016666666666669</v>
      </c>
      <c r="G30" s="98">
        <v>2.7829999999999999</v>
      </c>
      <c r="H30" s="98">
        <v>4.4669999999999996</v>
      </c>
      <c r="I30" s="98">
        <f>5+19/60</f>
        <v>5.3166666666666664</v>
      </c>
      <c r="J30" s="98">
        <f>2+1/60</f>
        <v>2.0166666666666666</v>
      </c>
      <c r="K30" s="98">
        <v>8.1170000000000009</v>
      </c>
      <c r="L30" s="98">
        <v>4.0118</v>
      </c>
      <c r="M30" s="98">
        <f>12+30/60</f>
        <v>12.5</v>
      </c>
      <c r="N30" s="105">
        <f t="shared" si="2"/>
        <v>0.93300000000000005</v>
      </c>
      <c r="O30" s="100">
        <v>8.3829999999999991</v>
      </c>
      <c r="P30" s="100">
        <v>2.7170000000000001</v>
      </c>
      <c r="Q30" s="100">
        <v>5.5670000000000002</v>
      </c>
      <c r="R30" s="101">
        <v>7.5</v>
      </c>
      <c r="S30" s="101">
        <v>3.3149999999999999</v>
      </c>
      <c r="T30" s="101">
        <v>5.3170000000000002</v>
      </c>
      <c r="U30" s="101">
        <v>6.8</v>
      </c>
      <c r="V30" s="101">
        <v>12.683</v>
      </c>
      <c r="W30" s="101">
        <v>3.3330000000000002</v>
      </c>
      <c r="X30" s="101">
        <v>6.633</v>
      </c>
      <c r="Y30" s="101">
        <v>4.9669999999999996</v>
      </c>
      <c r="Z30" s="101">
        <v>4.2329999999999997</v>
      </c>
      <c r="AA30" s="97">
        <v>9.35</v>
      </c>
      <c r="AB30" s="97">
        <v>6</v>
      </c>
      <c r="AC30" s="97">
        <v>4.3609999999999998</v>
      </c>
      <c r="AD30" s="97">
        <v>3.774</v>
      </c>
      <c r="AE30" s="97">
        <v>7.3010000000000002</v>
      </c>
      <c r="AF30" s="97">
        <v>4.9329999999999998</v>
      </c>
      <c r="AG30" s="97">
        <v>2.6</v>
      </c>
      <c r="AH30" s="97">
        <v>8.7669999999999995</v>
      </c>
      <c r="AI30" s="97">
        <v>9.25</v>
      </c>
      <c r="AJ30" s="97">
        <v>7.9669999999999996</v>
      </c>
      <c r="AK30" s="97">
        <v>8.3330000000000002</v>
      </c>
      <c r="AL30" s="97">
        <v>8.9670000000000005</v>
      </c>
      <c r="AM30" s="97">
        <v>3.2829999999999999</v>
      </c>
      <c r="AN30" s="97">
        <v>13.417</v>
      </c>
      <c r="AO30" s="97">
        <v>8.6669999999999998</v>
      </c>
      <c r="AP30" s="97">
        <v>6.2329999999999997</v>
      </c>
      <c r="AQ30" s="97">
        <v>3.7829999999999999</v>
      </c>
      <c r="AR30" s="97">
        <v>4.8499999999999996</v>
      </c>
      <c r="AS30" s="97">
        <v>5.6029999999999998</v>
      </c>
      <c r="AT30" s="97">
        <v>2.5169999999999999</v>
      </c>
      <c r="AU30" s="97">
        <v>5.6829999999999998</v>
      </c>
      <c r="AV30" s="97">
        <v>16.388000000000002</v>
      </c>
      <c r="AW30" s="97">
        <v>4.7169999999999996</v>
      </c>
      <c r="AX30">
        <v>6.25</v>
      </c>
      <c r="AY30" s="97">
        <v>4.5</v>
      </c>
      <c r="AZ30" s="97">
        <v>4.7169999999999996</v>
      </c>
      <c r="BA30" s="97">
        <v>4.8</v>
      </c>
      <c r="BB30" s="97">
        <v>7.25</v>
      </c>
      <c r="BC30" s="97">
        <v>5.0167000000000002</v>
      </c>
      <c r="BD30" s="97">
        <v>5.2329999999999997</v>
      </c>
      <c r="BE30" s="97">
        <v>8.8170000000000002</v>
      </c>
      <c r="BF30" s="97">
        <v>5.7329999999999997</v>
      </c>
      <c r="BG30" s="97">
        <v>6.6849999999999996</v>
      </c>
      <c r="BH30" s="97">
        <v>5.0332999999999997</v>
      </c>
      <c r="BI30" s="97">
        <v>6.0667</v>
      </c>
      <c r="BJ30" s="97">
        <v>8.25</v>
      </c>
      <c r="BK30" s="97">
        <v>1.9830000000000001</v>
      </c>
      <c r="BL30" s="97">
        <v>4.0442</v>
      </c>
      <c r="BM30" s="104">
        <v>0</v>
      </c>
      <c r="BN30" s="97">
        <v>10.717000000000001</v>
      </c>
      <c r="BO30" s="97">
        <v>3.95</v>
      </c>
      <c r="BP30" s="97">
        <v>13.257</v>
      </c>
      <c r="BQ30" s="97">
        <v>4.8330000000000002</v>
      </c>
      <c r="BR30" s="97">
        <v>3.85</v>
      </c>
      <c r="BS30" s="97">
        <v>2.5259999999999998</v>
      </c>
      <c r="BT30" s="97">
        <v>3.4830000000000001</v>
      </c>
      <c r="BU30" s="97">
        <v>2.8</v>
      </c>
      <c r="BV30">
        <v>12.4</v>
      </c>
      <c r="BW30" s="104">
        <f t="shared" si="3"/>
        <v>0</v>
      </c>
      <c r="BX30">
        <v>3.6160000000000001</v>
      </c>
      <c r="BY30">
        <v>2.1669999999999998</v>
      </c>
      <c r="BZ30">
        <v>3.9329999999999998</v>
      </c>
      <c r="CA30">
        <v>1.867</v>
      </c>
      <c r="CB30">
        <v>12.2</v>
      </c>
      <c r="CC30">
        <v>6.15</v>
      </c>
      <c r="CD30">
        <v>2.617</v>
      </c>
      <c r="CE30">
        <v>2.367</v>
      </c>
      <c r="CF30">
        <v>9.2669999999999995</v>
      </c>
      <c r="CG30">
        <v>7.25</v>
      </c>
      <c r="CH30">
        <v>18.783000000000001</v>
      </c>
      <c r="CI30">
        <v>5.5</v>
      </c>
      <c r="CJ30">
        <v>2.4329999999999998</v>
      </c>
      <c r="CK30">
        <v>4.1669999999999998</v>
      </c>
      <c r="CL30">
        <v>3.673</v>
      </c>
      <c r="CM30">
        <v>10.917</v>
      </c>
    </row>
    <row r="31" spans="1:91" x14ac:dyDescent="0.25">
      <c r="A31" s="345"/>
      <c r="B31" s="98" t="s">
        <v>48</v>
      </c>
      <c r="C31" s="98" t="s">
        <v>3</v>
      </c>
      <c r="D31" s="98">
        <f>12+16/60</f>
        <v>12.266666666666667</v>
      </c>
      <c r="E31" s="98">
        <v>6.5</v>
      </c>
      <c r="F31" s="98">
        <f>F30+20/60</f>
        <v>12.350000000000003</v>
      </c>
      <c r="G31" s="98">
        <v>4.7329999999999997</v>
      </c>
      <c r="H31" s="98">
        <v>8.6829999999999998</v>
      </c>
      <c r="I31" s="98">
        <f>6+25/60</f>
        <v>6.416666666666667</v>
      </c>
      <c r="J31" s="98">
        <f>4+21/60</f>
        <v>4.3499999999999996</v>
      </c>
      <c r="K31" s="98">
        <v>14.85</v>
      </c>
      <c r="L31" s="98">
        <v>7.7320000000000002</v>
      </c>
      <c r="M31" s="98">
        <f>12+50/60</f>
        <v>12.833333333333334</v>
      </c>
      <c r="N31" s="100">
        <v>1.417</v>
      </c>
      <c r="O31" s="100">
        <v>10.967000000000001</v>
      </c>
      <c r="P31" s="100">
        <v>3.5169999999999999</v>
      </c>
      <c r="Q31" s="100">
        <v>17.716999999999999</v>
      </c>
      <c r="R31" s="101">
        <v>9.75</v>
      </c>
      <c r="S31" s="101">
        <v>7.0244999999999997</v>
      </c>
      <c r="T31" s="101">
        <v>5.7670000000000003</v>
      </c>
      <c r="U31" s="101">
        <v>11.2</v>
      </c>
      <c r="V31" s="101">
        <v>14.25</v>
      </c>
      <c r="W31" s="101">
        <v>6.5830000000000002</v>
      </c>
      <c r="X31" s="101">
        <v>8.6829999999999998</v>
      </c>
      <c r="Y31" s="101">
        <v>6.45</v>
      </c>
      <c r="Z31" s="101">
        <v>4.75</v>
      </c>
      <c r="AA31" s="97">
        <v>11.516999999999999</v>
      </c>
      <c r="AB31" s="97">
        <v>7.7</v>
      </c>
      <c r="AC31" s="97">
        <v>7.391</v>
      </c>
      <c r="AD31" s="97">
        <v>4.2619999999999996</v>
      </c>
      <c r="AE31" s="97">
        <v>8.3949999999999996</v>
      </c>
      <c r="AF31" s="97">
        <v>6.5670000000000002</v>
      </c>
      <c r="AG31" s="97">
        <v>4.0332999999999997</v>
      </c>
      <c r="AH31" s="97">
        <v>11.132999999999999</v>
      </c>
      <c r="AI31" s="97">
        <v>9.6669999999999998</v>
      </c>
      <c r="AJ31" s="97">
        <v>9.9830000000000005</v>
      </c>
      <c r="AK31" s="97">
        <v>13.75</v>
      </c>
      <c r="AL31" s="97">
        <v>12.467000000000001</v>
      </c>
      <c r="AM31" s="97">
        <v>4.367</v>
      </c>
      <c r="AN31" s="97">
        <v>13.972</v>
      </c>
      <c r="AO31" s="97">
        <v>15.15</v>
      </c>
      <c r="AP31" s="97">
        <v>13.282999999999999</v>
      </c>
      <c r="AQ31" s="97">
        <v>6.75</v>
      </c>
      <c r="AR31" s="97">
        <v>5.5170000000000003</v>
      </c>
      <c r="AS31" s="97">
        <v>8.2620000000000005</v>
      </c>
      <c r="AT31" s="97">
        <v>4.2</v>
      </c>
      <c r="AU31" s="97">
        <v>7.133</v>
      </c>
      <c r="AV31" s="97">
        <v>18.190999999999999</v>
      </c>
      <c r="AW31" s="97">
        <v>8.7170000000000005</v>
      </c>
      <c r="AX31">
        <v>9.3330000000000002</v>
      </c>
      <c r="AY31" s="97">
        <v>5</v>
      </c>
      <c r="AZ31" s="97">
        <v>5.6829999999999998</v>
      </c>
      <c r="BA31" s="97">
        <v>6.9329999999999998</v>
      </c>
      <c r="BB31" s="97">
        <v>8.5</v>
      </c>
      <c r="BC31" s="97">
        <v>6.05</v>
      </c>
      <c r="BD31" s="97">
        <v>6.0332999999999997</v>
      </c>
      <c r="BE31" s="97">
        <v>12.083299999999999</v>
      </c>
      <c r="BF31" s="97">
        <v>7.1829999999999998</v>
      </c>
      <c r="BG31" s="97">
        <v>7.9729999999999999</v>
      </c>
      <c r="BH31" s="97">
        <v>7.0667</v>
      </c>
      <c r="BI31" s="97">
        <v>6.9020000000000001</v>
      </c>
      <c r="BJ31" s="97">
        <v>10.766999999999999</v>
      </c>
      <c r="BK31" s="97">
        <v>3</v>
      </c>
      <c r="BL31" s="97">
        <v>4.907</v>
      </c>
      <c r="BM31" s="97">
        <v>0.25</v>
      </c>
      <c r="BN31" s="97">
        <v>12.717000000000001</v>
      </c>
      <c r="BO31" s="97">
        <v>5.25</v>
      </c>
      <c r="BP31" s="97">
        <v>19.501999999999999</v>
      </c>
      <c r="BQ31" s="97">
        <v>6.5330000000000004</v>
      </c>
      <c r="BR31" s="97">
        <v>5.5</v>
      </c>
      <c r="BS31" s="97">
        <v>3.3967000000000001</v>
      </c>
      <c r="BT31" s="97">
        <v>4.55</v>
      </c>
      <c r="BU31" s="97">
        <v>4.5999999999999996</v>
      </c>
      <c r="BV31">
        <v>14.55</v>
      </c>
      <c r="BW31" s="104">
        <f t="shared" si="3"/>
        <v>0</v>
      </c>
      <c r="BX31">
        <v>5.7830000000000004</v>
      </c>
      <c r="BY31">
        <v>4.45</v>
      </c>
      <c r="BZ31">
        <v>5.117</v>
      </c>
      <c r="CA31">
        <v>4.6669999999999998</v>
      </c>
      <c r="CB31">
        <v>13.95</v>
      </c>
      <c r="CC31">
        <v>7.9329999999999998</v>
      </c>
      <c r="CD31">
        <v>3.6</v>
      </c>
      <c r="CE31">
        <v>2.65</v>
      </c>
      <c r="CF31">
        <v>10.933</v>
      </c>
      <c r="CG31">
        <v>9.85</v>
      </c>
      <c r="CH31">
        <v>24.45</v>
      </c>
      <c r="CI31">
        <v>6.25</v>
      </c>
      <c r="CJ31">
        <v>4.2830000000000004</v>
      </c>
      <c r="CK31">
        <v>5.1669999999999998</v>
      </c>
      <c r="CL31">
        <v>4.63</v>
      </c>
      <c r="CM31">
        <v>11.132999999999999</v>
      </c>
    </row>
    <row r="32" spans="1:91" x14ac:dyDescent="0.25">
      <c r="A32" s="345"/>
      <c r="B32" s="98" t="s">
        <v>49</v>
      </c>
      <c r="C32" s="98" t="s">
        <v>4</v>
      </c>
      <c r="D32" s="98">
        <f>12+30/60</f>
        <v>12.5</v>
      </c>
      <c r="E32" s="98">
        <v>7.0830000000000002</v>
      </c>
      <c r="F32" s="98">
        <f>F31+12/60</f>
        <v>12.550000000000002</v>
      </c>
      <c r="G32" s="98">
        <v>4.8330000000000002</v>
      </c>
      <c r="H32" s="98">
        <v>9.0169999999999995</v>
      </c>
      <c r="I32" s="98">
        <f>6+41/60</f>
        <v>6.6833333333333336</v>
      </c>
      <c r="J32" s="98">
        <f>4+23/60</f>
        <v>4.3833333333333337</v>
      </c>
      <c r="K32" s="98">
        <v>15.45</v>
      </c>
      <c r="L32" s="98">
        <v>9.0120000000000005</v>
      </c>
      <c r="M32" s="98">
        <v>13</v>
      </c>
      <c r="N32" s="100">
        <v>1.75</v>
      </c>
      <c r="O32" s="100">
        <v>11.167</v>
      </c>
      <c r="P32" s="100">
        <v>3.9830000000000001</v>
      </c>
      <c r="Q32" s="100">
        <v>17.899999999999999</v>
      </c>
      <c r="R32" s="101">
        <v>9.9169999999999998</v>
      </c>
      <c r="S32" s="101">
        <v>7.0949999999999998</v>
      </c>
      <c r="T32" s="101">
        <v>6.633</v>
      </c>
      <c r="U32" s="101">
        <v>11.483000000000001</v>
      </c>
      <c r="V32" s="101">
        <v>16.617000000000001</v>
      </c>
      <c r="W32" s="101">
        <v>6.6669999999999998</v>
      </c>
      <c r="X32" s="102">
        <f>X31</f>
        <v>8.6829999999999998</v>
      </c>
      <c r="Y32" s="101">
        <v>6.5</v>
      </c>
      <c r="Z32" s="101">
        <v>5</v>
      </c>
      <c r="AA32" s="97">
        <v>11.516999999999999</v>
      </c>
      <c r="AB32" s="97">
        <v>8.5830000000000002</v>
      </c>
      <c r="AC32" s="97">
        <v>7.5</v>
      </c>
      <c r="AD32" s="97">
        <v>4.2619999999999996</v>
      </c>
      <c r="AE32" s="104">
        <f>AE31</f>
        <v>8.3949999999999996</v>
      </c>
      <c r="AF32" s="97">
        <v>6.8330000000000002</v>
      </c>
      <c r="AG32" s="97">
        <v>4.2830000000000004</v>
      </c>
      <c r="AH32" s="97">
        <v>11.632999999999999</v>
      </c>
      <c r="AI32" s="97">
        <v>15.917</v>
      </c>
      <c r="AJ32" s="97">
        <v>10.183</v>
      </c>
      <c r="AK32" s="97">
        <v>15</v>
      </c>
      <c r="AL32" s="97">
        <v>14.3</v>
      </c>
      <c r="AM32" s="97">
        <v>4.7670000000000003</v>
      </c>
      <c r="AN32" s="97">
        <v>14</v>
      </c>
      <c r="AO32" s="97">
        <v>16.0167</v>
      </c>
      <c r="AP32" s="97">
        <v>13.382999999999999</v>
      </c>
      <c r="AQ32" s="97">
        <v>7.383</v>
      </c>
      <c r="AR32" s="97">
        <v>5.7</v>
      </c>
      <c r="AS32" s="97">
        <v>10.236000000000001</v>
      </c>
      <c r="AT32" s="97">
        <v>4.4000000000000004</v>
      </c>
      <c r="AU32" s="97">
        <v>7.25</v>
      </c>
      <c r="AV32" s="97">
        <v>24.541</v>
      </c>
      <c r="AW32" s="97">
        <v>8.7330000000000005</v>
      </c>
      <c r="AX32">
        <v>12.917</v>
      </c>
      <c r="AY32" s="97">
        <v>5.5</v>
      </c>
      <c r="AZ32" s="97">
        <v>5.7670000000000003</v>
      </c>
      <c r="BA32" s="97">
        <v>7.2670000000000003</v>
      </c>
      <c r="BB32" s="97">
        <v>8.5830000000000002</v>
      </c>
      <c r="BC32" s="97">
        <v>6.2169999999999996</v>
      </c>
      <c r="BD32" s="97">
        <v>6.0833000000000004</v>
      </c>
      <c r="BE32" s="97">
        <v>14.833</v>
      </c>
      <c r="BF32" s="97">
        <v>7.7</v>
      </c>
      <c r="BG32" s="97">
        <v>9.8680000000000003</v>
      </c>
      <c r="BH32" s="97">
        <v>7.3</v>
      </c>
      <c r="BI32" s="97">
        <v>7.3860000000000001</v>
      </c>
      <c r="BJ32" s="97">
        <v>10.917</v>
      </c>
      <c r="BK32" s="97">
        <v>3.117</v>
      </c>
      <c r="BL32" s="97">
        <v>4.9180000000000001</v>
      </c>
      <c r="BM32" s="104">
        <f>BM31</f>
        <v>0.25</v>
      </c>
      <c r="BN32" s="97">
        <v>13.217000000000001</v>
      </c>
      <c r="BO32" s="97">
        <v>5.6829999999999998</v>
      </c>
      <c r="BP32" s="97">
        <v>20.302</v>
      </c>
      <c r="BQ32" s="97">
        <v>6.7169999999999996</v>
      </c>
      <c r="BR32" s="97">
        <v>5.5670000000000002</v>
      </c>
      <c r="BS32" s="97">
        <v>3.3969999999999998</v>
      </c>
      <c r="BT32" s="97">
        <v>4.5999999999999996</v>
      </c>
      <c r="BU32" s="97">
        <v>5.95</v>
      </c>
      <c r="BV32">
        <v>14.667</v>
      </c>
      <c r="BW32">
        <v>0.05</v>
      </c>
      <c r="BX32">
        <v>6.0167000000000002</v>
      </c>
      <c r="BY32">
        <v>4.4829999999999997</v>
      </c>
      <c r="BZ32">
        <v>5.95</v>
      </c>
      <c r="CA32">
        <v>5.617</v>
      </c>
      <c r="CB32">
        <v>13.95</v>
      </c>
      <c r="CC32">
        <v>7.9829999999999997</v>
      </c>
      <c r="CD32">
        <v>4.25</v>
      </c>
      <c r="CE32">
        <v>2.95</v>
      </c>
      <c r="CF32">
        <v>10.983000000000001</v>
      </c>
      <c r="CG32">
        <v>10.532999999999999</v>
      </c>
      <c r="CH32">
        <v>30.417000000000002</v>
      </c>
      <c r="CI32" s="9">
        <v>7</v>
      </c>
      <c r="CJ32">
        <v>4.383</v>
      </c>
      <c r="CK32" s="109">
        <f>CK31</f>
        <v>5.1669999999999998</v>
      </c>
      <c r="CL32">
        <v>4.7380000000000004</v>
      </c>
      <c r="CM32">
        <v>11.3</v>
      </c>
    </row>
    <row r="33" spans="1:91" x14ac:dyDescent="0.25">
      <c r="A33" s="345"/>
      <c r="B33" s="98" t="s">
        <v>50</v>
      </c>
      <c r="C33" s="98" t="s">
        <v>3</v>
      </c>
      <c r="D33" s="98">
        <f>19+33/60</f>
        <v>19.55</v>
      </c>
      <c r="E33" s="98">
        <v>11.733000000000001</v>
      </c>
      <c r="F33" s="98">
        <f>F32+7+4/60</f>
        <v>19.616666666666671</v>
      </c>
      <c r="G33" s="98">
        <v>16.082999999999998</v>
      </c>
      <c r="H33" s="98">
        <v>15.35</v>
      </c>
      <c r="I33" s="98">
        <f>17+54/60</f>
        <v>17.899999999999999</v>
      </c>
      <c r="J33" s="98">
        <f>10+34/60</f>
        <v>10.566666666666666</v>
      </c>
      <c r="K33" s="98">
        <v>25.817</v>
      </c>
      <c r="L33" s="98">
        <v>16.588999999999999</v>
      </c>
      <c r="M33" s="98">
        <f>30+40/60</f>
        <v>30.666666666666668</v>
      </c>
      <c r="N33" s="100">
        <v>7.9829999999999997</v>
      </c>
      <c r="O33" s="100">
        <v>23.332999999999998</v>
      </c>
      <c r="P33" s="100">
        <v>8.5</v>
      </c>
      <c r="Q33" s="100">
        <v>22.466999999999999</v>
      </c>
      <c r="R33" s="101">
        <v>16.083300000000001</v>
      </c>
      <c r="S33" s="102">
        <v>11.87</v>
      </c>
      <c r="T33" s="101">
        <v>18.817</v>
      </c>
      <c r="U33" s="101">
        <v>19.516999999999999</v>
      </c>
      <c r="V33" s="101">
        <v>25.5</v>
      </c>
      <c r="W33" s="101">
        <v>13.717000000000001</v>
      </c>
      <c r="X33" s="101">
        <v>18.55</v>
      </c>
      <c r="Y33" s="101">
        <v>15.05</v>
      </c>
      <c r="Z33" s="101">
        <v>12.5</v>
      </c>
      <c r="AA33" s="97">
        <v>28.083300000000001</v>
      </c>
      <c r="AB33" s="97">
        <v>13.817</v>
      </c>
      <c r="AC33" s="97">
        <v>10.443</v>
      </c>
      <c r="AD33" s="97">
        <v>10.657</v>
      </c>
      <c r="AE33" s="97">
        <v>16.978000000000002</v>
      </c>
      <c r="AF33" s="97">
        <v>13.333</v>
      </c>
      <c r="AG33" s="97">
        <v>18.783000000000001</v>
      </c>
      <c r="AH33" s="97">
        <v>18.083300000000001</v>
      </c>
      <c r="AI33" s="97">
        <v>18.917000000000002</v>
      </c>
      <c r="AJ33" s="97">
        <v>18.632999999999999</v>
      </c>
      <c r="AK33" s="97">
        <v>22.832999999999998</v>
      </c>
      <c r="AL33" s="97">
        <v>24.382999999999999</v>
      </c>
      <c r="AM33" s="97">
        <v>10.217000000000001</v>
      </c>
      <c r="AN33" s="97">
        <v>21.75</v>
      </c>
      <c r="AO33" s="97">
        <v>25.25</v>
      </c>
      <c r="AP33" s="97">
        <v>24.317</v>
      </c>
      <c r="AQ33" s="97">
        <v>19.917000000000002</v>
      </c>
      <c r="AR33" s="97">
        <v>8.3670000000000009</v>
      </c>
      <c r="AS33" s="97">
        <v>19.198</v>
      </c>
      <c r="AT33" s="97">
        <v>10.782999999999999</v>
      </c>
      <c r="AU33" s="97">
        <v>15.917</v>
      </c>
      <c r="AV33" s="104">
        <f>AV32</f>
        <v>24.541</v>
      </c>
      <c r="AW33" s="97">
        <v>22.317</v>
      </c>
      <c r="AX33">
        <v>17.917000000000002</v>
      </c>
      <c r="AY33" s="97">
        <v>8.5</v>
      </c>
      <c r="AZ33" s="97">
        <v>13.233000000000001</v>
      </c>
      <c r="BA33" s="97">
        <v>15.066700000000001</v>
      </c>
      <c r="BB33" s="97">
        <v>10.5</v>
      </c>
      <c r="BC33" s="97">
        <v>15.0167</v>
      </c>
      <c r="BD33" s="97">
        <v>15.45</v>
      </c>
      <c r="BE33" s="97">
        <v>24.283000000000001</v>
      </c>
      <c r="BF33" s="97">
        <v>13.2</v>
      </c>
      <c r="BG33" s="97">
        <v>15.023</v>
      </c>
      <c r="BH33" s="97">
        <v>14.167</v>
      </c>
      <c r="BI33" s="97">
        <v>9.8030000000000008</v>
      </c>
      <c r="BJ33" s="97">
        <v>22.617000000000001</v>
      </c>
      <c r="BK33" s="97">
        <v>10.266999999999999</v>
      </c>
      <c r="BL33" s="97">
        <v>17.367999999999999</v>
      </c>
      <c r="BM33" s="97">
        <v>3.5169999999999999</v>
      </c>
      <c r="BN33" s="97">
        <v>33.216999999999999</v>
      </c>
      <c r="BO33" s="97">
        <v>21.55</v>
      </c>
      <c r="BP33" s="97">
        <v>24.969000000000001</v>
      </c>
      <c r="BQ33" s="97">
        <v>12.833</v>
      </c>
      <c r="BR33" s="97">
        <v>11.95</v>
      </c>
      <c r="BS33" s="104">
        <f>BS32</f>
        <v>3.3969999999999998</v>
      </c>
      <c r="BT33" s="97">
        <v>10.8</v>
      </c>
      <c r="BU33" s="97">
        <v>13.282999999999999</v>
      </c>
      <c r="BV33">
        <v>20.117000000000001</v>
      </c>
      <c r="BW33">
        <v>9.9</v>
      </c>
      <c r="BX33">
        <v>12.317</v>
      </c>
      <c r="BY33">
        <v>12.317</v>
      </c>
      <c r="BZ33">
        <v>13.483000000000001</v>
      </c>
      <c r="CA33">
        <v>11.632999999999999</v>
      </c>
      <c r="CB33">
        <v>24.8</v>
      </c>
      <c r="CC33">
        <v>18.45</v>
      </c>
      <c r="CD33">
        <v>8.4169999999999998</v>
      </c>
      <c r="CE33">
        <v>4.2</v>
      </c>
      <c r="CF33">
        <v>16.033300000000001</v>
      </c>
      <c r="CG33">
        <v>19.95</v>
      </c>
      <c r="CH33">
        <v>44.466999999999999</v>
      </c>
      <c r="CI33" s="9">
        <v>17</v>
      </c>
      <c r="CJ33">
        <v>13.75</v>
      </c>
      <c r="CK33">
        <v>19.5</v>
      </c>
      <c r="CL33">
        <v>12.706</v>
      </c>
      <c r="CM33">
        <v>19.983000000000001</v>
      </c>
    </row>
    <row r="34" spans="1:91" x14ac:dyDescent="0.25">
      <c r="A34" s="345"/>
      <c r="B34" s="98" t="s">
        <v>51</v>
      </c>
      <c r="C34" s="98" t="s">
        <v>4</v>
      </c>
      <c r="D34" s="98">
        <f>19+39/60</f>
        <v>19.649999999999999</v>
      </c>
      <c r="E34" s="98">
        <v>13.2</v>
      </c>
      <c r="F34" s="98">
        <f>F33+1+46/60</f>
        <v>21.383333333333336</v>
      </c>
      <c r="G34" s="98">
        <v>16.367000000000001</v>
      </c>
      <c r="H34" s="98">
        <v>18.367000000000001</v>
      </c>
      <c r="I34" s="98">
        <f>19+1/60</f>
        <v>19.016666666666666</v>
      </c>
      <c r="J34" s="98">
        <f>10+52/60</f>
        <v>10.866666666666667</v>
      </c>
      <c r="K34" s="103">
        <v>25.817</v>
      </c>
      <c r="L34" s="103">
        <v>16.588999999999999</v>
      </c>
      <c r="M34" s="98" t="s">
        <v>62</v>
      </c>
      <c r="N34" s="100" t="s">
        <v>62</v>
      </c>
      <c r="O34" s="100">
        <v>25.216999999999999</v>
      </c>
      <c r="P34" s="100">
        <v>8.6669999999999998</v>
      </c>
      <c r="Q34" s="100" t="s">
        <v>62</v>
      </c>
      <c r="R34" s="101" t="s">
        <v>62</v>
      </c>
      <c r="S34" s="101">
        <v>13.968999999999999</v>
      </c>
      <c r="T34" s="101" t="s">
        <v>62</v>
      </c>
      <c r="U34" s="101">
        <v>20.167000000000002</v>
      </c>
      <c r="V34" s="102">
        <v>56.267000000000003</v>
      </c>
      <c r="W34" s="101">
        <v>15.717000000000001</v>
      </c>
      <c r="X34" s="101" t="s">
        <v>62</v>
      </c>
      <c r="Y34" s="101">
        <v>15.1</v>
      </c>
      <c r="Z34" s="101">
        <v>12.75</v>
      </c>
      <c r="AA34" s="97">
        <v>28.266999999999999</v>
      </c>
      <c r="AB34" s="97">
        <v>14.882999999999999</v>
      </c>
      <c r="AC34" s="97">
        <v>11.0467</v>
      </c>
      <c r="AD34" s="97">
        <v>11.138999999999999</v>
      </c>
      <c r="AE34" s="97">
        <v>19.25</v>
      </c>
      <c r="AF34" s="97">
        <v>17.667000000000002</v>
      </c>
      <c r="AG34" s="97">
        <v>19.382999999999999</v>
      </c>
      <c r="AH34" s="97">
        <v>18.483000000000001</v>
      </c>
      <c r="AI34" s="97">
        <v>19.917000000000002</v>
      </c>
      <c r="AJ34" s="97">
        <v>20.0167</v>
      </c>
      <c r="AK34" s="97">
        <v>24.332999999999998</v>
      </c>
      <c r="AL34" s="97">
        <v>25.65</v>
      </c>
      <c r="AM34" s="97">
        <v>11.317</v>
      </c>
      <c r="AN34" s="97">
        <v>22</v>
      </c>
      <c r="AO34" s="97">
        <v>27.75</v>
      </c>
      <c r="AP34" s="97">
        <v>25.516999999999999</v>
      </c>
      <c r="AQ34" s="97">
        <v>23.417000000000002</v>
      </c>
      <c r="AR34" s="97">
        <v>8.8670000000000009</v>
      </c>
      <c r="AS34" s="97">
        <v>20.283000000000001</v>
      </c>
      <c r="AT34" s="97">
        <v>10.917</v>
      </c>
      <c r="AU34" s="97">
        <v>18.817</v>
      </c>
      <c r="AV34" s="97">
        <v>31.571000000000002</v>
      </c>
      <c r="AW34" s="97">
        <v>22.533000000000001</v>
      </c>
      <c r="AX34" t="s">
        <v>62</v>
      </c>
      <c r="AY34" s="97">
        <v>11.5</v>
      </c>
      <c r="AZ34" s="97">
        <v>15.083299999999999</v>
      </c>
      <c r="BA34" s="97">
        <v>15.132999999999999</v>
      </c>
      <c r="BB34" s="97">
        <v>10.75</v>
      </c>
      <c r="BC34" s="97">
        <v>15.083299999999999</v>
      </c>
      <c r="BD34" s="97">
        <v>15.516999999999999</v>
      </c>
      <c r="BE34" s="97">
        <v>25.167000000000002</v>
      </c>
      <c r="BF34" s="97">
        <v>18.55</v>
      </c>
      <c r="BG34" s="97">
        <v>15.523</v>
      </c>
      <c r="BH34" s="97">
        <v>14.417</v>
      </c>
      <c r="BI34" s="97">
        <v>10.529</v>
      </c>
      <c r="BJ34" s="97">
        <v>22.75</v>
      </c>
      <c r="BK34" s="97">
        <v>10.983000000000001</v>
      </c>
      <c r="BL34" s="97">
        <v>18.899999999999999</v>
      </c>
      <c r="BM34" s="97">
        <v>7.1669999999999998</v>
      </c>
      <c r="BN34" s="97">
        <v>33.383000000000003</v>
      </c>
      <c r="BO34" s="97">
        <v>22.367000000000001</v>
      </c>
      <c r="BP34" s="97">
        <v>25.492000000000001</v>
      </c>
      <c r="BQ34" s="97">
        <v>13.333</v>
      </c>
      <c r="BR34" s="97">
        <v>12.282999999999999</v>
      </c>
      <c r="BS34" s="104">
        <f>BS33</f>
        <v>3.3969999999999998</v>
      </c>
      <c r="BT34" s="97">
        <v>10.8</v>
      </c>
      <c r="BU34" s="97">
        <v>15.05</v>
      </c>
      <c r="BV34">
        <v>21.417000000000002</v>
      </c>
      <c r="BW34">
        <v>13.617000000000001</v>
      </c>
      <c r="BX34" t="s">
        <v>62</v>
      </c>
      <c r="BY34" t="s">
        <v>62</v>
      </c>
      <c r="BZ34">
        <v>14.333</v>
      </c>
      <c r="CA34" t="s">
        <v>62</v>
      </c>
      <c r="CB34" t="s">
        <v>62</v>
      </c>
      <c r="CC34">
        <v>20.783000000000001</v>
      </c>
      <c r="CD34">
        <v>9.0167000000000002</v>
      </c>
      <c r="CE34">
        <v>6.25</v>
      </c>
      <c r="CF34" t="s">
        <v>62</v>
      </c>
      <c r="CG34">
        <v>21.882999999999999</v>
      </c>
      <c r="CH34" t="s">
        <v>62</v>
      </c>
      <c r="CI34" s="9">
        <v>17.75</v>
      </c>
      <c r="CJ34" t="s">
        <v>62</v>
      </c>
      <c r="CK34" t="s">
        <v>62</v>
      </c>
      <c r="CL34">
        <v>13.94</v>
      </c>
      <c r="CM34">
        <v>20.433</v>
      </c>
    </row>
    <row r="35" spans="1:91" ht="46.5" customHeight="1" x14ac:dyDescent="0.25">
      <c r="A35" s="345"/>
      <c r="B35" s="98" t="s">
        <v>52</v>
      </c>
      <c r="C35" s="106" t="s">
        <v>18</v>
      </c>
      <c r="D35" s="97" t="s">
        <v>62</v>
      </c>
      <c r="E35" s="97" t="s">
        <v>62</v>
      </c>
      <c r="F35" s="97" t="s">
        <v>62</v>
      </c>
      <c r="G35" s="97" t="s">
        <v>62</v>
      </c>
      <c r="H35" s="97" t="s">
        <v>62</v>
      </c>
      <c r="I35" s="97" t="s">
        <v>62</v>
      </c>
      <c r="J35" s="97" t="s">
        <v>62</v>
      </c>
      <c r="K35" s="98">
        <v>25</v>
      </c>
      <c r="L35" s="98">
        <v>75</v>
      </c>
      <c r="M35" s="98"/>
      <c r="N35" s="100">
        <v>90</v>
      </c>
      <c r="O35" s="100" t="s">
        <v>62</v>
      </c>
      <c r="P35" s="100" t="s">
        <v>62</v>
      </c>
      <c r="Q35" s="100">
        <v>47</v>
      </c>
      <c r="R35" s="101">
        <v>15</v>
      </c>
      <c r="S35" s="101" t="s">
        <v>62</v>
      </c>
      <c r="T35" s="101">
        <v>20</v>
      </c>
      <c r="U35" s="102">
        <v>20</v>
      </c>
      <c r="V35" s="102">
        <v>15</v>
      </c>
      <c r="W35" s="101" t="s">
        <v>62</v>
      </c>
      <c r="X35" s="101">
        <v>9.25</v>
      </c>
      <c r="Y35" s="101" t="s">
        <v>62</v>
      </c>
      <c r="Z35" s="101" t="s">
        <v>62</v>
      </c>
      <c r="AA35" s="97" t="s">
        <v>62</v>
      </c>
      <c r="AB35" s="97" t="s">
        <v>62</v>
      </c>
      <c r="AC35" s="97" t="s">
        <v>62</v>
      </c>
      <c r="AD35" s="97" t="s">
        <v>62</v>
      </c>
      <c r="AE35" s="97" t="s">
        <v>62</v>
      </c>
      <c r="AF35" s="97" t="s">
        <v>62</v>
      </c>
      <c r="AG35" s="97" t="s">
        <v>62</v>
      </c>
      <c r="AH35" s="97" t="s">
        <v>62</v>
      </c>
      <c r="AI35" s="97" t="s">
        <v>62</v>
      </c>
      <c r="AJ35" s="97" t="s">
        <v>62</v>
      </c>
      <c r="AK35" s="97" t="s">
        <v>62</v>
      </c>
      <c r="AL35" s="97" t="s">
        <v>62</v>
      </c>
      <c r="AM35" s="97" t="s">
        <v>62</v>
      </c>
      <c r="AN35" s="97" t="s">
        <v>62</v>
      </c>
      <c r="AO35" s="97" t="s">
        <v>62</v>
      </c>
      <c r="AP35" s="97" t="s">
        <v>62</v>
      </c>
      <c r="AQ35" s="97" t="s">
        <v>62</v>
      </c>
      <c r="AR35" s="97" t="s">
        <v>62</v>
      </c>
      <c r="AS35" s="97" t="s">
        <v>62</v>
      </c>
      <c r="AT35" s="97" t="s">
        <v>62</v>
      </c>
      <c r="AU35" s="97" t="s">
        <v>62</v>
      </c>
      <c r="AV35" s="97" t="s">
        <v>62</v>
      </c>
      <c r="AW35" s="97" t="s">
        <v>62</v>
      </c>
      <c r="AX35" t="s">
        <v>358</v>
      </c>
      <c r="AY35" s="97" t="s">
        <v>62</v>
      </c>
      <c r="AZ35" s="97" t="s">
        <v>62</v>
      </c>
      <c r="BA35" s="97" t="s">
        <v>62</v>
      </c>
      <c r="BB35" s="97" t="s">
        <v>62</v>
      </c>
      <c r="BC35" s="97" t="s">
        <v>62</v>
      </c>
      <c r="BD35" s="97" t="s">
        <v>62</v>
      </c>
      <c r="BE35" s="97" t="s">
        <v>62</v>
      </c>
      <c r="BF35" s="97" t="s">
        <v>62</v>
      </c>
      <c r="BG35" s="97" t="s">
        <v>62</v>
      </c>
      <c r="BH35" s="97" t="s">
        <v>62</v>
      </c>
      <c r="BI35" s="97" t="s">
        <v>62</v>
      </c>
      <c r="BJ35" s="97" t="s">
        <v>62</v>
      </c>
      <c r="BK35" s="97" t="s">
        <v>62</v>
      </c>
      <c r="BL35" s="97" t="s">
        <v>62</v>
      </c>
      <c r="BM35" s="97" t="s">
        <v>62</v>
      </c>
      <c r="BN35" s="97" t="s">
        <v>62</v>
      </c>
      <c r="BO35" s="97" t="s">
        <v>62</v>
      </c>
      <c r="BP35" s="97" t="s">
        <v>62</v>
      </c>
      <c r="BQ35" s="97" t="s">
        <v>62</v>
      </c>
      <c r="BR35" s="97" t="s">
        <v>62</v>
      </c>
      <c r="BS35" s="97" t="s">
        <v>62</v>
      </c>
      <c r="BT35" s="97" t="s">
        <v>62</v>
      </c>
      <c r="BU35" s="97" t="s">
        <v>62</v>
      </c>
      <c r="BV35" t="s">
        <v>62</v>
      </c>
      <c r="BW35" t="s">
        <v>62</v>
      </c>
      <c r="BX35" t="s">
        <v>307</v>
      </c>
      <c r="BY35" t="s">
        <v>308</v>
      </c>
      <c r="BZ35" t="s">
        <v>62</v>
      </c>
      <c r="CA35" t="s">
        <v>309</v>
      </c>
      <c r="CB35" t="s">
        <v>310</v>
      </c>
      <c r="CC35" t="s">
        <v>62</v>
      </c>
      <c r="CD35" t="s">
        <v>62</v>
      </c>
      <c r="CE35" t="s">
        <v>62</v>
      </c>
      <c r="CF35" t="s">
        <v>311</v>
      </c>
      <c r="CG35" t="s">
        <v>62</v>
      </c>
      <c r="CH35" t="s">
        <v>314</v>
      </c>
      <c r="CI35" t="s">
        <v>62</v>
      </c>
      <c r="CJ35" s="30" t="s">
        <v>315</v>
      </c>
      <c r="CK35" s="30" t="s">
        <v>316</v>
      </c>
      <c r="CL35" t="s">
        <v>62</v>
      </c>
      <c r="CM35" t="s">
        <v>62</v>
      </c>
    </row>
    <row r="36" spans="1:91" ht="30" x14ac:dyDescent="0.25">
      <c r="A36" s="345"/>
      <c r="B36" s="98"/>
      <c r="C36" s="98"/>
      <c r="D36" s="98"/>
      <c r="E36" s="97"/>
      <c r="F36" s="97"/>
      <c r="G36" s="97"/>
      <c r="H36" s="97"/>
      <c r="I36" s="97"/>
      <c r="J36" s="97"/>
      <c r="K36" s="97"/>
      <c r="L36" s="97"/>
      <c r="M36" s="97"/>
      <c r="N36" s="100"/>
      <c r="O36" s="100"/>
      <c r="P36" s="100"/>
      <c r="Q36" s="100"/>
      <c r="R36" s="101" t="s">
        <v>65</v>
      </c>
      <c r="S36" s="101" t="s">
        <v>63</v>
      </c>
      <c r="T36" s="101" t="s">
        <v>65</v>
      </c>
      <c r="U36" s="101" t="s">
        <v>63</v>
      </c>
      <c r="V36" s="101" t="s">
        <v>63</v>
      </c>
      <c r="W36" s="101" t="s">
        <v>63</v>
      </c>
      <c r="X36" s="101" t="s">
        <v>63</v>
      </c>
      <c r="Y36" s="101" t="s">
        <v>65</v>
      </c>
      <c r="Z36" s="101" t="s">
        <v>65</v>
      </c>
      <c r="AA36" s="97" t="s">
        <v>65</v>
      </c>
      <c r="AB36" s="97" t="s">
        <v>63</v>
      </c>
      <c r="AC36" s="97" t="s">
        <v>63</v>
      </c>
      <c r="AD36" s="97" t="s">
        <v>63</v>
      </c>
      <c r="AE36" s="97" t="s">
        <v>65</v>
      </c>
      <c r="AF36" s="97" t="s">
        <v>65</v>
      </c>
      <c r="AG36" s="97" t="s">
        <v>65</v>
      </c>
      <c r="AH36" s="97" t="s">
        <v>65</v>
      </c>
      <c r="AI36" s="97" t="s">
        <v>65</v>
      </c>
      <c r="AJ36" s="97" t="s">
        <v>63</v>
      </c>
      <c r="AK36" s="97" t="s">
        <v>65</v>
      </c>
      <c r="AL36" s="97" t="s">
        <v>63</v>
      </c>
      <c r="AM36" s="97" t="s">
        <v>63</v>
      </c>
      <c r="AN36" s="97" t="s">
        <v>63</v>
      </c>
      <c r="AO36" s="97" t="s">
        <v>63</v>
      </c>
      <c r="AP36" s="97" t="s">
        <v>63</v>
      </c>
      <c r="AQ36" s="97" t="s">
        <v>63</v>
      </c>
      <c r="AR36" s="97" t="s">
        <v>65</v>
      </c>
      <c r="AS36" s="97" t="s">
        <v>63</v>
      </c>
      <c r="AT36" s="97" t="s">
        <v>63</v>
      </c>
      <c r="AU36" s="97" t="s">
        <v>65</v>
      </c>
      <c r="AV36" s="97" t="s">
        <v>63</v>
      </c>
      <c r="AW36" s="97" t="s">
        <v>65</v>
      </c>
      <c r="AX36" t="s">
        <v>63</v>
      </c>
      <c r="AY36" s="97" t="s">
        <v>63</v>
      </c>
      <c r="AZ36" s="97" t="s">
        <v>65</v>
      </c>
      <c r="BA36" s="97" t="s">
        <v>65</v>
      </c>
      <c r="BB36" s="95" t="s">
        <v>214</v>
      </c>
      <c r="BC36" s="97" t="s">
        <v>65</v>
      </c>
      <c r="BD36" s="97" t="s">
        <v>65</v>
      </c>
      <c r="BE36" s="97" t="s">
        <v>63</v>
      </c>
      <c r="BF36" s="97" t="s">
        <v>63</v>
      </c>
      <c r="BG36" s="97" t="s">
        <v>65</v>
      </c>
      <c r="BH36" s="97" t="s">
        <v>65</v>
      </c>
      <c r="BI36" s="97" t="s">
        <v>65</v>
      </c>
      <c r="BJ36" s="97" t="s">
        <v>63</v>
      </c>
      <c r="BK36" s="97" t="s">
        <v>65</v>
      </c>
      <c r="BL36" s="97" t="s">
        <v>63</v>
      </c>
      <c r="BM36" s="97" t="s">
        <v>65</v>
      </c>
      <c r="BN36" s="97" t="s">
        <v>63</v>
      </c>
      <c r="BO36" s="97" t="s">
        <v>65</v>
      </c>
      <c r="BP36" s="97" t="s">
        <v>65</v>
      </c>
      <c r="BQ36" s="97" t="s">
        <v>63</v>
      </c>
      <c r="BR36" s="97" t="s">
        <v>65</v>
      </c>
      <c r="BS36" s="97" t="s">
        <v>65</v>
      </c>
      <c r="BT36" s="97" t="s">
        <v>63</v>
      </c>
      <c r="BU36" s="97" t="s">
        <v>63</v>
      </c>
      <c r="BV36" t="s">
        <v>63</v>
      </c>
      <c r="BW36" t="s">
        <v>63</v>
      </c>
      <c r="BX36" t="s">
        <v>65</v>
      </c>
      <c r="BY36" t="s">
        <v>63</v>
      </c>
      <c r="BZ36" t="s">
        <v>65</v>
      </c>
      <c r="CA36" t="s">
        <v>63</v>
      </c>
      <c r="CB36" t="s">
        <v>63</v>
      </c>
      <c r="CC36" t="s">
        <v>63</v>
      </c>
      <c r="CD36" t="s">
        <v>65</v>
      </c>
      <c r="CE36" t="s">
        <v>65</v>
      </c>
      <c r="CF36" t="s">
        <v>63</v>
      </c>
      <c r="CG36" t="s">
        <v>65</v>
      </c>
      <c r="CH36" t="s">
        <v>63</v>
      </c>
      <c r="CI36" t="s">
        <v>63</v>
      </c>
      <c r="CJ36" t="s">
        <v>65</v>
      </c>
      <c r="CK36" t="s">
        <v>65</v>
      </c>
      <c r="CL36" t="s">
        <v>65</v>
      </c>
      <c r="CM36" t="s">
        <v>65</v>
      </c>
    </row>
    <row r="37" spans="1:91" ht="30" x14ac:dyDescent="0.25">
      <c r="A37" s="345"/>
      <c r="B37" s="96" t="s">
        <v>70</v>
      </c>
      <c r="C37" s="98"/>
      <c r="D37" s="98" t="str">
        <f>IF(D9&lt;&gt;"",IF(D9&gt;Constants!$F$3,"Large",IF(D9&lt;=Constants!$E$3,"Small","Medium")),"")</f>
        <v>Large</v>
      </c>
      <c r="E37" s="98" t="str">
        <f>IF(E9&lt;&gt;"",IF(E9&gt;Constants!$F$3,"Large",IF(E9&lt;=Constants!$E$3,"Small","Medium")),"")</f>
        <v>Large</v>
      </c>
      <c r="F37" s="98" t="str">
        <f>IF(F9&lt;&gt;"",IF(F9&gt;Constants!$F$3,"Large",IF(F9&lt;=Constants!$E$3,"Small","Medium")),"")</f>
        <v>Medium</v>
      </c>
      <c r="G37" s="98" t="str">
        <f>IF(G9&lt;&gt;"",IF(G9&gt;Constants!$F$3,"Large",IF(G9&lt;=Constants!$E$3,"Small","Medium")),"")</f>
        <v>Large</v>
      </c>
      <c r="H37" s="98" t="str">
        <f>IF(H9&lt;&gt;"",IF(H9&gt;Constants!$F$3,"Large",IF(H9&lt;=Constants!$E$3,"Small","Medium")),"")</f>
        <v>Small</v>
      </c>
      <c r="I37" s="98" t="str">
        <f>IF(I9&lt;&gt;"",IF(I9&gt;Constants!$F$3,"Large",IF(I9&lt;=Constants!$E$3,"Small","Medium")),"")</f>
        <v>Large</v>
      </c>
      <c r="J37" s="98" t="str">
        <f>IF(J9&lt;&gt;"",IF(J9&gt;Constants!$F$3,"Large",IF(J9&lt;=Constants!$E$3,"Small","Medium")),"")</f>
        <v>Small</v>
      </c>
      <c r="K37" s="98" t="str">
        <f>IF(K9&lt;&gt;"",IF(K9&gt;Constants!$F$3,"Large",IF(K9&lt;=Constants!$E$3,"Small","Medium")),"")</f>
        <v>Medium</v>
      </c>
      <c r="L37" s="98" t="str">
        <f>IF(L9&lt;&gt;"",IF(L9&gt;Constants!$F$3,"Large",IF(L9&lt;=Constants!$E$3,"Small","Medium")),"")</f>
        <v>Small</v>
      </c>
      <c r="M37" s="98" t="str">
        <f>IF(M9&lt;&gt;"",IF(M9&gt;Constants!$F$3,"Large",IF(M9&lt;=Constants!$E$3,"Small","Medium")),"")</f>
        <v>Medium</v>
      </c>
      <c r="N37" s="98" t="str">
        <f>IF(N9&lt;&gt;"",IF(N9&gt;Constants!$F$3,"Large",IF(N9&lt;=Constants!$E$3,"Small","Medium")),"")</f>
        <v>Small</v>
      </c>
      <c r="O37" s="98" t="str">
        <f>IF(O9&lt;&gt;"",IF(O9&gt;Constants!$F$3,"Large",IF(O9&lt;=Constants!$E$3,"Small","Medium")),"")</f>
        <v>Medium</v>
      </c>
      <c r="P37" s="98" t="str">
        <f>IF(P9&lt;&gt;"",IF(P9&gt;Constants!$F$3,"Large",IF(P9&lt;=Constants!$E$3,"Small","Medium")),"")</f>
        <v>Large</v>
      </c>
      <c r="Q37" s="98" t="str">
        <f>IF(Q9&lt;&gt;"",IF(Q9&gt;Constants!$F$3,"Large",IF(Q9&lt;=Constants!$E$3,"Small","Medium")),"")</f>
        <v>Large</v>
      </c>
      <c r="R37" s="98" t="str">
        <f>IF(R9&lt;&gt;"",IF(R9&gt;Constants!$F$3,"Large",IF(R9&lt;=Constants!$E$3,"Small","Medium")),"")</f>
        <v>Medium</v>
      </c>
      <c r="S37" s="98" t="str">
        <f>IF(S9&lt;&gt;"",IF(S9&gt;Constants!$F$3,"Large",IF(S9&lt;=Constants!$E$3,"Small","Medium")),"")</f>
        <v>Small</v>
      </c>
      <c r="T37" s="98" t="str">
        <f>IF(T9&lt;&gt;"",IF(T9&gt;Constants!$F$3,"Large",IF(T9&lt;=Constants!$E$3,"Small","Medium")),"")</f>
        <v>Medium</v>
      </c>
      <c r="U37" s="98" t="str">
        <f>IF(U9&lt;&gt;"",IF(U9&gt;Constants!$F$3,"Large",IF(U9&lt;=Constants!$E$3,"Small","Medium")),"")</f>
        <v>Small</v>
      </c>
      <c r="V37" s="98" t="str">
        <f>IF(V9&lt;&gt;"",IF(V9&gt;Constants!$F$3,"Large",IF(V9&lt;=Constants!$E$3,"Small","Medium")),"")</f>
        <v>Medium</v>
      </c>
      <c r="W37" s="98" t="str">
        <f>IF(W9&lt;&gt;"",IF(W9&gt;Constants!$F$3,"Large",IF(W9&lt;=Constants!$E$3,"Small","Medium")),"")</f>
        <v>Medium</v>
      </c>
      <c r="X37" s="98" t="str">
        <f>IF(X9&lt;&gt;"",IF(X9&gt;Constants!$F$3,"Large",IF(X9&lt;=Constants!$E$3,"Small","Medium")),"")</f>
        <v>Medium</v>
      </c>
      <c r="Y37" s="98" t="str">
        <f>IF(Y9&lt;&gt;"",IF(Y9&gt;Constants!$F$3,"Large",IF(Y9&lt;=Constants!$E$3,"Small","Medium")),"")</f>
        <v>Large</v>
      </c>
      <c r="Z37" s="98" t="str">
        <f>IF(Z9&lt;&gt;"",IF(Z9&gt;Constants!$F$3,"Large",IF(Z9&lt;=Constants!$E$3,"Small","Medium")),"")</f>
        <v>Large</v>
      </c>
      <c r="AA37" s="98" t="str">
        <f>IF(AA9&lt;&gt;"",IF(AA9&gt;Constants!$F$3,"Large",IF(AA9&lt;=Constants!$E$3,"Small","Medium")),"")</f>
        <v>Small</v>
      </c>
      <c r="AB37" s="98" t="str">
        <f>IF(AB9&lt;&gt;"",IF(AB9&gt;Constants!$F$3,"Large",IF(AB9&lt;=Constants!$E$3,"Small","Medium")),"")</f>
        <v>Medium</v>
      </c>
      <c r="AC37" s="98" t="str">
        <f>IF(AC9&lt;&gt;"",IF(AC9&gt;Constants!$F$3,"Large",IF(AC9&lt;=Constants!$E$3,"Small","Medium")),"")</f>
        <v>Small</v>
      </c>
      <c r="AD37" s="98" t="str">
        <f>IF(AD9&lt;&gt;"",IF(AD9&gt;Constants!$F$3,"Large",IF(AD9&lt;=Constants!$E$3,"Small","Medium")),"")</f>
        <v>Small</v>
      </c>
      <c r="AE37" s="98" t="str">
        <f>IF(AE9&lt;&gt;"",IF(AE9&gt;Constants!$F$3,"Large",IF(AE9&lt;=Constants!$E$3,"Small","Medium")),"")</f>
        <v>Large</v>
      </c>
      <c r="AF37" s="98" t="str">
        <f>IF(AF9&lt;&gt;"",IF(AF9&gt;Constants!$F$3,"Large",IF(AF9&lt;=Constants!$E$3,"Small","Medium")),"")</f>
        <v>Large</v>
      </c>
      <c r="AG37" s="98" t="str">
        <f>IF(AG9&lt;&gt;"",IF(AG9&gt;Constants!$F$3,"Large",IF(AG9&lt;=Constants!$E$3,"Small","Medium")),"")</f>
        <v>Large</v>
      </c>
      <c r="AH37" s="98" t="str">
        <f>IF(AH9&lt;&gt;"",IF(AH9&gt;Constants!$F$3,"Large",IF(AH9&lt;=Constants!$E$3,"Small","Medium")),"")</f>
        <v>Small</v>
      </c>
      <c r="AI37" s="98" t="str">
        <f>IF(AI9&lt;&gt;"",IF(AI9&gt;Constants!$F$3,"Large",IF(AI9&lt;=Constants!$E$3,"Small","Medium")),"")</f>
        <v>Small</v>
      </c>
      <c r="AJ37" s="98" t="str">
        <f>IF(AJ9&lt;&gt;"",IF(AJ9&gt;Constants!$F$3,"Large",IF(AJ9&lt;=Constants!$E$3,"Small","Medium")),"")</f>
        <v>Large</v>
      </c>
      <c r="AK37" s="98" t="str">
        <f>IF(AK9&lt;&gt;"",IF(AK9&gt;Constants!$F$3,"Large",IF(AK9&lt;=Constants!$E$3,"Small","Medium")),"")</f>
        <v>Large</v>
      </c>
      <c r="AL37" s="98" t="str">
        <f>IF(AL9&lt;&gt;"",IF(AL9&gt;Constants!$F$3,"Large",IF(AL9&lt;=Constants!$E$3,"Small","Medium")),"")</f>
        <v>Medium</v>
      </c>
      <c r="AM37" s="98" t="str">
        <f>IF(AM9&lt;&gt;"",IF(AM9&gt;Constants!$F$3,"Large",IF(AM9&lt;=Constants!$E$3,"Small","Medium")),"")</f>
        <v>Large</v>
      </c>
      <c r="AN37" s="98" t="str">
        <f>IF(AN9&lt;&gt;"",IF(AN9&gt;Constants!$F$3,"Large",IF(AN9&lt;=Constants!$E$3,"Small","Medium")),"")</f>
        <v>Small</v>
      </c>
      <c r="AO37" s="98" t="str">
        <f>IF(AO9&lt;&gt;"",IF(AO9&gt;Constants!$F$3,"Large",IF(AO9&lt;=Constants!$E$3,"Small","Medium")),"")</f>
        <v>Small</v>
      </c>
      <c r="AP37" s="98" t="str">
        <f>IF(AP9&lt;&gt;"",IF(AP9&gt;Constants!$F$3,"Large",IF(AP9&lt;=Constants!$E$3,"Small","Medium")),"")</f>
        <v>Medium</v>
      </c>
      <c r="AQ37" s="98" t="str">
        <f>IF(AQ9&lt;&gt;"",IF(AQ9&gt;Constants!$F$3,"Large",IF(AQ9&lt;=Constants!$E$3,"Small","Medium")),"")</f>
        <v>Medium</v>
      </c>
      <c r="AR37" s="98" t="str">
        <f>IF(AR9&lt;&gt;"",IF(AR9&gt;Constants!$F$3,"Large",IF(AR9&lt;=Constants!$E$3,"Small","Medium")),"")</f>
        <v>Large</v>
      </c>
      <c r="AS37" s="98" t="str">
        <f>IF(AS9&lt;&gt;"",IF(AS9&gt;Constants!$F$3,"Large",IF(AS9&lt;=Constants!$E$3,"Small","Medium")),"")</f>
        <v>Medium</v>
      </c>
      <c r="AT37" s="98" t="str">
        <f>IF(AT9&lt;&gt;"",IF(AT9&gt;Constants!$F$3,"Large",IF(AT9&lt;=Constants!$E$3,"Small","Medium")),"")</f>
        <v>Large</v>
      </c>
      <c r="AU37" s="98" t="str">
        <f>IF(AU9&lt;&gt;"",IF(AU9&gt;Constants!$F$3,"Large",IF(AU9&lt;=Constants!$E$3,"Small","Medium")),"")</f>
        <v>Large</v>
      </c>
      <c r="AV37" s="98" t="str">
        <f>IF(AV9&lt;&gt;"",IF(AV9&gt;Constants!$F$3,"Large",IF(AV9&lt;=Constants!$E$3,"Small","Medium")),"")</f>
        <v>Small</v>
      </c>
      <c r="AW37" s="98" t="str">
        <f>IF(AW9&lt;&gt;"",IF(AW9&gt;Constants!$F$3,"Large",IF(AW9&lt;=Constants!$E$3,"Small","Medium")),"")</f>
        <v>Medium</v>
      </c>
      <c r="AX37" s="98" t="str">
        <f>IF(AX9&lt;&gt;"",IF(AX9&gt;Constants!$F$3,"Large",IF(AX9&lt;=Constants!$E$3,"Small","Medium")),"")</f>
        <v>Large</v>
      </c>
      <c r="AY37" s="98" t="str">
        <f>IF(AY9&lt;&gt;"",IF(AY9&gt;Constants!$F$3,"Large",IF(AY9&lt;=Constants!$E$3,"Small","Medium")),"")</f>
        <v>Medium</v>
      </c>
      <c r="AZ37" s="98" t="str">
        <f>IF(AZ9&lt;&gt;"",IF(AZ9&gt;Constants!$F$3,"Large",IF(AZ9&lt;=Constants!$E$3,"Small","Medium")),"")</f>
        <v>Large</v>
      </c>
      <c r="BA37" s="98" t="str">
        <f>IF(BA9&lt;&gt;"",IF(BA9&gt;Constants!$F$3,"Large",IF(BA9&lt;=Constants!$E$3,"Small","Medium")),"")</f>
        <v>Large</v>
      </c>
      <c r="BB37" s="98" t="str">
        <f>IF(BB9&lt;&gt;"",IF(BB9&gt;Constants!$F$3,"Large",IF(BB9&lt;=Constants!$E$3,"Small","Medium")),"")</f>
        <v/>
      </c>
      <c r="BC37" s="98" t="str">
        <f>IF(BC9&lt;&gt;"",IF(BC9&gt;Constants!$F$3,"Large",IF(BC9&lt;=Constants!$E$3,"Small","Medium")),"")</f>
        <v>Large</v>
      </c>
      <c r="BD37" s="98" t="str">
        <f>IF(BD9&lt;&gt;"",IF(BD9&gt;Constants!$F$3,"Large",IF(BD9&lt;=Constants!$E$3,"Small","Medium")),"")</f>
        <v>Large</v>
      </c>
      <c r="BE37" s="98" t="str">
        <f>IF(BE9&lt;&gt;"",IF(BE9&gt;Constants!$F$3,"Large",IF(BE9&lt;=Constants!$E$3,"Small","Medium")),"")</f>
        <v>Large</v>
      </c>
      <c r="BF37" s="98" t="str">
        <f>IF(BF9&lt;&gt;"",IF(BF9&gt;Constants!$F$3,"Large",IF(BF9&lt;=Constants!$E$3,"Small","Medium")),"")</f>
        <v>Large</v>
      </c>
      <c r="BG37" s="98" t="str">
        <f>IF(BG9&lt;&gt;"",IF(BG9&gt;Constants!$F$3,"Large",IF(BG9&lt;=Constants!$E$3,"Small","Medium")),"")</f>
        <v>Small</v>
      </c>
      <c r="BH37" s="98" t="str">
        <f>IF(BH9&lt;&gt;"",IF(BH9&gt;Constants!$F$3,"Large",IF(BH9&lt;=Constants!$E$3,"Small","Medium")),"")</f>
        <v>Medium</v>
      </c>
      <c r="BI37" s="98" t="str">
        <f>IF(BI9&lt;&gt;"",IF(BI9&gt;Constants!$F$3,"Large",IF(BI9&lt;=Constants!$E$3,"Small","Medium")),"")</f>
        <v>Medium</v>
      </c>
      <c r="BJ37" s="98" t="str">
        <f>IF(BJ9&lt;&gt;"",IF(BJ9&gt;Constants!$F$3,"Large",IF(BJ9&lt;=Constants!$E$3,"Small","Medium")),"")</f>
        <v>Small</v>
      </c>
      <c r="BK37" s="98" t="str">
        <f>IF(BK9&lt;&gt;"",IF(BK9&gt;Constants!$F$3,"Large",IF(BK9&lt;=Constants!$E$3,"Small","Medium")),"")</f>
        <v>Small</v>
      </c>
      <c r="BL37" s="98" t="str">
        <f>IF(BL9&lt;&gt;"",IF(BL9&gt;Constants!$F$3,"Large",IF(BL9&lt;=Constants!$E$3,"Small","Medium")),"")</f>
        <v>Large</v>
      </c>
      <c r="BM37" s="98" t="str">
        <f>IF(BM9&lt;&gt;"",IF(BM9&gt;Constants!$F$3,"Large",IF(BM9&lt;=Constants!$E$3,"Small","Medium")),"")</f>
        <v>Medium</v>
      </c>
      <c r="BN37" s="98" t="str">
        <f>IF(BN9&lt;&gt;"",IF(BN9&gt;Constants!$F$3,"Large",IF(BN9&lt;=Constants!$E$3,"Small","Medium")),"")</f>
        <v>Small</v>
      </c>
      <c r="BO37" s="98" t="str">
        <f>IF(BO9&lt;&gt;"",IF(BO9&gt;Constants!$F$3,"Large",IF(BO9&lt;=Constants!$E$3,"Small","Medium")),"")</f>
        <v>Medium</v>
      </c>
      <c r="BP37" s="98" t="str">
        <f>IF(BP9&lt;&gt;"",IF(BP9&gt;Constants!$F$3,"Large",IF(BP9&lt;=Constants!$E$3,"Small","Medium")),"")</f>
        <v>Large</v>
      </c>
      <c r="BQ37" s="98" t="str">
        <f>IF(BQ9&lt;&gt;"",IF(BQ9&gt;Constants!$F$3,"Large",IF(BQ9&lt;=Constants!$E$3,"Small","Medium")),"")</f>
        <v>Large</v>
      </c>
      <c r="BR37" s="98" t="str">
        <f>IF(BR9&lt;&gt;"",IF(BR9&gt;Constants!$F$3,"Large",IF(BR9&lt;=Constants!$E$3,"Small","Medium")),"")</f>
        <v>Small</v>
      </c>
      <c r="BS37" s="98" t="str">
        <f>IF(BS9&lt;&gt;"",IF(BS9&gt;Constants!$F$3,"Large",IF(BS9&lt;=Constants!$E$3,"Small","Medium")),"")</f>
        <v>Medium</v>
      </c>
      <c r="BT37" s="98" t="str">
        <f>IF(BT9&lt;&gt;"",IF(BT9&gt;Constants!$F$3,"Large",IF(BT9&lt;=Constants!$E$3,"Small","Medium")),"")</f>
        <v/>
      </c>
      <c r="BU37" s="98" t="str">
        <f>IF(BU9&lt;&gt;"",IF(BU9&gt;Constants!$F$3,"Large",IF(BU9&lt;=Constants!$E$3,"Small","Medium")),"")</f>
        <v>Large</v>
      </c>
      <c r="BV37" s="98" t="str">
        <f>IF(BV9&lt;&gt;"",IF(BV9&gt;Constants!$F$3,"Large",IF(BV9&lt;=Constants!$E$3,"Small","Medium")),"")</f>
        <v>Medium</v>
      </c>
      <c r="BW37" s="98" t="str">
        <f>IF(BW9&lt;&gt;"",IF(BW9&gt;Constants!$F$3,"Large",IF(BW9&lt;=Constants!$E$3,"Small","Medium")),"")</f>
        <v>Medium</v>
      </c>
      <c r="BX37" s="98" t="str">
        <f>IF(BX9&lt;&gt;"",IF(BX9&gt;Constants!$F$3,"Large",IF(BX9&lt;=Constants!$E$3,"Small","Medium")),"")</f>
        <v>Medium</v>
      </c>
      <c r="BY37" s="98" t="str">
        <f>IF(BY9&lt;&gt;"",IF(BY9&gt;Constants!$F$3,"Large",IF(BY9&lt;=Constants!$E$3,"Small","Medium")),"")</f>
        <v>Medium</v>
      </c>
      <c r="BZ37" s="98" t="str">
        <f>IF(BZ9&lt;&gt;"",IF(BZ9&gt;Constants!$F$3,"Large",IF(BZ9&lt;=Constants!$E$3,"Small","Medium")),"")</f>
        <v>Large</v>
      </c>
      <c r="CA37" s="98" t="str">
        <f>IF(CA9&lt;&gt;"",IF(CA9&gt;Constants!$F$3,"Large",IF(CA9&lt;=Constants!$E$3,"Small","Medium")),"")</f>
        <v>Small</v>
      </c>
      <c r="CB37" s="98" t="str">
        <f>IF(CB9&lt;&gt;"",IF(CB9&gt;Constants!$F$3,"Large",IF(CB9&lt;=Constants!$E$3,"Small","Medium")),"")</f>
        <v>Small</v>
      </c>
      <c r="CC37" s="98" t="str">
        <f>IF(CC9&lt;&gt;"",IF(CC9&gt;Constants!$F$3,"Large",IF(CC9&lt;=Constants!$E$3,"Small","Medium")),"")</f>
        <v>Medium</v>
      </c>
      <c r="CD37" s="98" t="str">
        <f>IF(CD9&lt;&gt;"",IF(CD9&gt;Constants!$F$3,"Large",IF(CD9&lt;=Constants!$E$3,"Small","Medium")),"")</f>
        <v>Large</v>
      </c>
      <c r="CE37" s="98" t="str">
        <f>IF(CE9&lt;&gt;"",IF(CE9&gt;Constants!$F$3,"Large",IF(CE9&lt;=Constants!$E$3,"Small","Medium")),"")</f>
        <v>Large</v>
      </c>
      <c r="CF37" s="98" t="str">
        <f>IF(CF9&lt;&gt;"",IF(CF9&gt;Constants!$F$3,"Large",IF(CF9&lt;=Constants!$E$3,"Small","Medium")),"")</f>
        <v>Small</v>
      </c>
      <c r="CG37" s="98" t="str">
        <f>IF(CG9&lt;&gt;"",IF(CG9&gt;Constants!$F$3,"Large",IF(CG9&lt;=Constants!$E$3,"Small","Medium")),"")</f>
        <v>Large</v>
      </c>
      <c r="CH37" s="98" t="str">
        <f>IF(CH9&lt;&gt;"",IF(CH9&gt;Constants!$F$3,"Large",IF(CH9&lt;=Constants!$E$3,"Small","Medium")),"")</f>
        <v>Medium</v>
      </c>
      <c r="CI37" s="98" t="str">
        <f>IF(CI9&lt;&gt;"",IF(CI9&gt;Constants!$F$3,"Large",IF(CI9&lt;=Constants!$E$3,"Small","Medium")),"")</f>
        <v>Large</v>
      </c>
      <c r="CJ37" s="98" t="str">
        <f>IF(CJ9&lt;&gt;"",IF(CJ9&gt;Constants!$F$3,"Large",IF(CJ9&lt;=Constants!$E$3,"Small","Medium")),"")</f>
        <v>Small</v>
      </c>
      <c r="CK37" s="98" t="str">
        <f>IF(CK9&lt;&gt;"",IF(CK9&gt;Constants!$F$3,"Large",IF(CK9&lt;=Constants!$E$3,"Small","Medium")),"")</f>
        <v>Small</v>
      </c>
      <c r="CL37" s="98" t="str">
        <f>IF(CL9&lt;&gt;"",IF(CL9&gt;Constants!$F$3,"Large",IF(CL9&lt;=Constants!$E$3,"Small","Medium")),"")</f>
        <v>Medium</v>
      </c>
      <c r="CM37" s="98" t="str">
        <f>IF(CM9&lt;&gt;"",IF(CM9&gt;Constants!$F$3,"Large",IF(CM9&lt;=Constants!$E$3,"Small","Medium")),"")</f>
        <v>Medium</v>
      </c>
    </row>
    <row r="38" spans="1:91" x14ac:dyDescent="0.25">
      <c r="A38" s="345"/>
      <c r="B38" s="98" t="s">
        <v>143</v>
      </c>
      <c r="C38" s="98"/>
      <c r="D38" s="98">
        <f>VLOOKUP(D1,Establishments!$A$2:$E$176,4)</f>
        <v>25</v>
      </c>
      <c r="E38" s="98">
        <f>VLOOKUP(E1,Establishments!$A$2:$E$176,4)</f>
        <v>90</v>
      </c>
      <c r="F38" s="98">
        <f>VLOOKUP(F1,Establishments!$A$2:$E$176,4)</f>
        <v>40</v>
      </c>
      <c r="G38" s="98">
        <f>VLOOKUP(G1,Establishments!$A$2:$E$176,4)</f>
        <v>40</v>
      </c>
      <c r="H38" s="98">
        <f>VLOOKUP(H1,Establishments!$A$2:$E$176,4)</f>
        <v>35</v>
      </c>
      <c r="I38" s="98">
        <f>VLOOKUP(I1,Establishments!$A$2:$E$176,4)</f>
        <v>50</v>
      </c>
      <c r="J38" s="98">
        <f>VLOOKUP(J1,Establishments!$A$2:$E$176,4)</f>
        <v>60</v>
      </c>
      <c r="K38" s="98">
        <f>VLOOKUP(K1,Establishments!$A$2:$E$176,4)</f>
        <v>35</v>
      </c>
      <c r="L38" s="98">
        <f>VLOOKUP(L1,Establishments!$A$2:$E$176,4)</f>
        <v>80</v>
      </c>
      <c r="M38" s="98">
        <f>VLOOKUP(M1,Establishments!$A$2:$E$176,4)</f>
        <v>90</v>
      </c>
      <c r="N38" s="98">
        <f>VLOOKUP(N1,Establishments!$A$2:$E$176,4)</f>
        <v>35</v>
      </c>
      <c r="O38" s="98">
        <f>VLOOKUP(O1,Establishments!$A$2:$E$176,4)</f>
        <v>35</v>
      </c>
      <c r="P38" s="98">
        <f>VLOOKUP(P1,Establishments!$A$2:$E$176,4)</f>
        <v>25</v>
      </c>
      <c r="Q38" s="98">
        <f>VLOOKUP(Q1,Establishments!$A$2:$E$176,4)</f>
        <v>60</v>
      </c>
      <c r="R38" s="98">
        <f>VLOOKUP(R1,Establishments!$A$2:$E$176,4)</f>
        <v>15</v>
      </c>
      <c r="S38" s="98">
        <f>VLOOKUP(S1,Establishments!$A$2:$E$176,4)</f>
        <v>60</v>
      </c>
      <c r="T38" s="98">
        <f>VLOOKUP(T1,Establishments!$A$2:$E$176,4)</f>
        <v>60</v>
      </c>
      <c r="U38" s="98">
        <f>VLOOKUP(U1,Establishments!$A$2:$E$176,4)</f>
        <v>90</v>
      </c>
      <c r="V38" s="98">
        <f>VLOOKUP(V1,Establishments!$A$2:$E$176,4)</f>
        <v>40</v>
      </c>
      <c r="W38" s="98">
        <f>VLOOKUP(W1,Establishments!$A$2:$E$176,4)</f>
        <v>15</v>
      </c>
      <c r="X38" s="98">
        <f>VLOOKUP(X1,Establishments!$A$2:$E$176,4)</f>
        <v>80</v>
      </c>
      <c r="Y38" s="98">
        <f>VLOOKUP(Y1,Establishments!$A$2:$E$176,4)</f>
        <v>40</v>
      </c>
      <c r="Z38" s="98">
        <f>VLOOKUP(Z1,Establishments!$A$2:$E$176,4)</f>
        <v>50</v>
      </c>
      <c r="AA38" s="98">
        <f>VLOOKUP(AA1,Establishments!$A$2:$E$176,4)</f>
        <v>60</v>
      </c>
      <c r="AB38" s="98">
        <f>VLOOKUP(AB1,Establishments!$A$2:$E$176,4)</f>
        <v>40</v>
      </c>
      <c r="AC38" s="98">
        <f>VLOOKUP(AC1,Establishments!$A$2:$E$176,4)</f>
        <v>60</v>
      </c>
      <c r="AD38" s="98">
        <f>VLOOKUP(AD1,Establishments!$A$2:$E$176,4)</f>
        <v>60</v>
      </c>
      <c r="AE38" s="98">
        <f>VLOOKUP(AE1,Establishments!$A$2:$E$176,4)</f>
        <v>15</v>
      </c>
      <c r="AF38" s="98">
        <f>VLOOKUP(AF1,Establishments!$A$2:$E$176,4)</f>
        <v>15</v>
      </c>
      <c r="AG38" s="98">
        <f>VLOOKUP(AG1,Establishments!$A$2:$E$176,4)</f>
        <v>15</v>
      </c>
      <c r="AH38" s="98">
        <f>VLOOKUP(AH1,Establishments!$A$2:$E$176,4)</f>
        <v>90</v>
      </c>
      <c r="AI38" s="98">
        <f>VLOOKUP(AI1,Establishments!$A$2:$E$176,4)</f>
        <v>40</v>
      </c>
      <c r="AJ38" s="98">
        <f>VLOOKUP(AJ1,Establishments!$A$2:$E$176,4)</f>
        <v>15</v>
      </c>
      <c r="AK38" s="98">
        <f>VLOOKUP(AK1,Establishments!$A$2:$E$176,4)</f>
        <v>15</v>
      </c>
      <c r="AL38" s="98">
        <f>VLOOKUP(AL1,Establishments!$A$2:$E$176,4)</f>
        <v>60</v>
      </c>
      <c r="AM38" s="98">
        <f>VLOOKUP(AM1,Establishments!$A$2:$E$176,4)</f>
        <v>25</v>
      </c>
      <c r="AN38" s="98">
        <f>VLOOKUP(AN1,Establishments!$A$2:$E$176,4)</f>
        <v>60</v>
      </c>
      <c r="AO38" s="98">
        <f>VLOOKUP(AO1,Establishments!$A$2:$E$176,4)</f>
        <v>50</v>
      </c>
      <c r="AP38" s="98">
        <f>VLOOKUP(AP1,Establishments!$A$2:$E$176,4)</f>
        <v>60</v>
      </c>
      <c r="AQ38" s="98">
        <f>VLOOKUP(AQ1,Establishments!$A$2:$E$176,4)</f>
        <v>80</v>
      </c>
      <c r="AR38" s="98">
        <f>VLOOKUP(AR1,Establishments!$A$2:$E$176,4)</f>
        <v>35</v>
      </c>
      <c r="AS38" s="98">
        <f>VLOOKUP(AS1,Establishments!$A$2:$E$176,4)</f>
        <v>60</v>
      </c>
      <c r="AT38" s="98">
        <f>VLOOKUP(AT1,Establishments!$A$2:$E$176,4)</f>
        <v>60</v>
      </c>
      <c r="AU38" s="98">
        <f>VLOOKUP(AU1,Establishments!$A$2:$E$176,4)</f>
        <v>15</v>
      </c>
      <c r="AV38" s="98">
        <f>VLOOKUP(AV1,Establishments!$A$2:$E$176,4)</f>
        <v>60</v>
      </c>
      <c r="AW38" s="98">
        <f>VLOOKUP(AW1,Establishments!$A$2:$E$176,4)</f>
        <v>85</v>
      </c>
      <c r="AX38" s="98">
        <f>VLOOKUP(AX1,Establishments!$A$2:$E$176,4)</f>
        <v>35</v>
      </c>
      <c r="AY38" s="98">
        <f>VLOOKUP(AY1,Establishments!$A$2:$E$176,4)</f>
        <v>90</v>
      </c>
      <c r="AZ38" s="98">
        <f>VLOOKUP(AZ1,Establishments!$A$2:$E$176,4)</f>
        <v>35</v>
      </c>
      <c r="BA38" s="98">
        <f>VLOOKUP(BA1,Establishments!$A$2:$E$176,4)</f>
        <v>40</v>
      </c>
      <c r="BB38" s="98">
        <f>VLOOKUP(BB1,Establishments!$A$2:$E$176,4)</f>
        <v>15</v>
      </c>
      <c r="BC38" s="98">
        <f>VLOOKUP(BC1,Establishments!$A$2:$E$176,4)</f>
        <v>40</v>
      </c>
      <c r="BD38" s="98">
        <f>VLOOKUP(BD1,Establishments!$A$2:$E$176,4)</f>
        <v>40</v>
      </c>
      <c r="BE38" s="98">
        <f>VLOOKUP(BE1,Establishments!$A$2:$E$176,4)</f>
        <v>15</v>
      </c>
      <c r="BF38" s="98">
        <f>VLOOKUP(BF1,Establishments!$A$2:$E$176,4)</f>
        <v>15</v>
      </c>
      <c r="BG38" s="98">
        <f>VLOOKUP(BG1,Establishments!$A$2:$E$176,4)</f>
        <v>15</v>
      </c>
      <c r="BH38" s="98">
        <f>VLOOKUP(BH1,Establishments!$A$2:$E$176,4)</f>
        <v>15</v>
      </c>
      <c r="BI38" s="98">
        <f>VLOOKUP(BI1,Establishments!$A$2:$E$176,4)</f>
        <v>15</v>
      </c>
      <c r="BJ38" s="98">
        <f>VLOOKUP(BJ1,Establishments!$A$2:$E$176,4)</f>
        <v>35</v>
      </c>
      <c r="BK38" s="98">
        <f>VLOOKUP(BK1,Establishments!$A$2:$E$176,4)</f>
        <v>60</v>
      </c>
      <c r="BL38" s="98">
        <f>VLOOKUP(BL1,Establishments!$A$2:$E$176,4)</f>
        <v>15</v>
      </c>
      <c r="BM38" s="98">
        <f>VLOOKUP(BM1,Establishments!$A$2:$E$176,4)</f>
        <v>15</v>
      </c>
      <c r="BN38" s="98">
        <f>VLOOKUP(BN1,Establishments!$A$2:$E$176,4)</f>
        <v>60</v>
      </c>
      <c r="BO38" s="98">
        <f>VLOOKUP(BO1,Establishments!$A$2:$E$176,4)</f>
        <v>15</v>
      </c>
      <c r="BP38" s="98">
        <f>VLOOKUP(BP1,Establishments!$A$2:$E$176,4)</f>
        <v>40</v>
      </c>
      <c r="BQ38" s="98">
        <f>VLOOKUP(BQ1,Establishments!$A$2:$E$176,4)</f>
        <v>35</v>
      </c>
      <c r="BR38" s="98">
        <f>VLOOKUP(BR1,Establishments!$A$2:$E$176,4)</f>
        <v>15</v>
      </c>
      <c r="BS38" s="98">
        <f>VLOOKUP(BS1,Establishments!$A$2:$E$176,4)</f>
        <v>80</v>
      </c>
      <c r="BT38" s="98">
        <f>VLOOKUP(BT1,Establishments!$A$2:$E$176,4)</f>
        <v>25</v>
      </c>
      <c r="BU38" s="98">
        <f>VLOOKUP(BU1,Establishments!$A$2:$E$176,4)</f>
        <v>5</v>
      </c>
      <c r="BV38" s="98">
        <f>VLOOKUP(BV1,Establishments!$A$2:$E$176,4)</f>
        <v>50</v>
      </c>
      <c r="BW38" s="98">
        <f>VLOOKUP(BW1,Establishments!$A$2:$E$176,4)</f>
        <v>15</v>
      </c>
      <c r="BX38" s="98">
        <f>VLOOKUP(BX1,Establishments!$A$2:$E$176,4)</f>
        <v>15</v>
      </c>
      <c r="BY38" s="98">
        <f>VLOOKUP(BY1,Establishments!$A$2:$E$176,4)</f>
        <v>15</v>
      </c>
      <c r="BZ38" s="98">
        <f>VLOOKUP(BZ1,Establishments!$A$2:$E$176,4)</f>
        <v>60</v>
      </c>
      <c r="CA38" s="98">
        <f>VLOOKUP(CA1,Establishments!$A$2:$E$176,4)</f>
        <v>15</v>
      </c>
      <c r="CB38" s="98">
        <f>VLOOKUP(CB1,Establishments!$A$2:$E$176,4)</f>
        <v>15</v>
      </c>
      <c r="CC38" s="98">
        <f>VLOOKUP(CC1,Establishments!$A$2:$E$176,4)</f>
        <v>15</v>
      </c>
      <c r="CD38" s="98">
        <f>VLOOKUP(CD1,Establishments!$A$2:$E$176,4)</f>
        <v>85</v>
      </c>
      <c r="CE38" s="98">
        <f>VLOOKUP(CE1,Establishments!$A$2:$E$176,4)</f>
        <v>5</v>
      </c>
      <c r="CF38" s="98">
        <f>VLOOKUP(CF1,Establishments!$A$2:$E$176,4)</f>
        <v>15</v>
      </c>
      <c r="CG38" s="98">
        <f>VLOOKUP(CG1,Establishments!$A$2:$E$176,4)</f>
        <v>40</v>
      </c>
      <c r="CH38" s="98">
        <f>VLOOKUP(CH1,Establishments!$A$2:$E$176,4)</f>
        <v>15</v>
      </c>
      <c r="CI38" s="98">
        <f>VLOOKUP(CI1,Establishments!$A$2:$E$176,4)</f>
        <v>40</v>
      </c>
      <c r="CJ38" s="98">
        <f>VLOOKUP(CJ1,Establishments!$A$2:$E$176,4)</f>
        <v>80</v>
      </c>
      <c r="CK38" s="98">
        <f>VLOOKUP(CK1,Establishments!$A$2:$E$176,4)</f>
        <v>50</v>
      </c>
      <c r="CL38" s="98">
        <f>VLOOKUP(CL1,Establishments!$A$2:$E$176,4)</f>
        <v>85</v>
      </c>
      <c r="CM38" s="98">
        <f>VLOOKUP(CM1,Establishments!$A$2:$E$176,4)</f>
        <v>85</v>
      </c>
    </row>
    <row r="39" spans="1:91" x14ac:dyDescent="0.25">
      <c r="A39" s="345"/>
    </row>
    <row r="40" spans="1:91" ht="45.75" thickBot="1" x14ac:dyDescent="0.3">
      <c r="A40" s="346"/>
      <c r="B40" s="7" t="s">
        <v>241</v>
      </c>
      <c r="D40" t="b">
        <v>0</v>
      </c>
      <c r="E40" t="b">
        <v>1</v>
      </c>
      <c r="F40" t="b">
        <v>0</v>
      </c>
      <c r="G40" t="b">
        <v>0</v>
      </c>
      <c r="H40" t="b">
        <v>0</v>
      </c>
      <c r="I40" t="b">
        <v>0</v>
      </c>
      <c r="J40" t="b">
        <v>0</v>
      </c>
      <c r="K40" t="b">
        <v>0</v>
      </c>
      <c r="L40" t="b">
        <v>0</v>
      </c>
      <c r="M40" t="b">
        <v>1</v>
      </c>
      <c r="N40" t="b">
        <v>0</v>
      </c>
      <c r="O40" t="b">
        <v>0</v>
      </c>
      <c r="P40" t="b">
        <v>0</v>
      </c>
      <c r="Q40" t="b">
        <v>0</v>
      </c>
      <c r="R40" t="b">
        <v>0</v>
      </c>
      <c r="S40" t="b">
        <v>0</v>
      </c>
      <c r="T40" t="b">
        <v>0</v>
      </c>
      <c r="U40" t="b">
        <v>1</v>
      </c>
      <c r="V40" t="b">
        <v>0</v>
      </c>
      <c r="W40" t="b">
        <v>0</v>
      </c>
      <c r="X40" t="b">
        <v>0</v>
      </c>
      <c r="Y40" t="b">
        <v>0</v>
      </c>
      <c r="Z40" t="b">
        <v>0</v>
      </c>
      <c r="AA40" t="b">
        <v>0</v>
      </c>
      <c r="AB40" t="b">
        <v>0</v>
      </c>
      <c r="AC40" t="b">
        <v>0</v>
      </c>
      <c r="AD40" t="b">
        <v>0</v>
      </c>
      <c r="AE40" t="b">
        <v>0</v>
      </c>
      <c r="AF40" t="b">
        <v>0</v>
      </c>
      <c r="AG40" t="b">
        <v>0</v>
      </c>
      <c r="AH40" t="b">
        <v>0</v>
      </c>
      <c r="AI40" t="b">
        <v>0</v>
      </c>
      <c r="AJ40" t="b">
        <v>0</v>
      </c>
      <c r="AK40" t="b">
        <v>0</v>
      </c>
      <c r="AL40" t="b">
        <v>0</v>
      </c>
      <c r="AM40" t="b">
        <v>0</v>
      </c>
      <c r="AN40" t="b">
        <v>0</v>
      </c>
      <c r="AO40" t="b">
        <v>0</v>
      </c>
      <c r="AP40" t="b">
        <v>0</v>
      </c>
      <c r="AQ40" t="b">
        <v>0</v>
      </c>
      <c r="AR40" t="b">
        <v>0</v>
      </c>
      <c r="AS40" t="b">
        <v>0</v>
      </c>
      <c r="AT40" t="b">
        <v>0</v>
      </c>
      <c r="AU40" t="b">
        <v>0</v>
      </c>
      <c r="AV40" t="b">
        <v>0</v>
      </c>
      <c r="AW40" t="b">
        <v>0</v>
      </c>
      <c r="AX40" t="b">
        <v>0</v>
      </c>
      <c r="AY40" t="b">
        <v>1</v>
      </c>
      <c r="AZ40" t="b">
        <v>0</v>
      </c>
      <c r="BA40" t="b">
        <v>0</v>
      </c>
      <c r="BB40" t="b">
        <v>0</v>
      </c>
      <c r="BC40" t="b">
        <v>0</v>
      </c>
      <c r="BD40" t="b">
        <v>0</v>
      </c>
      <c r="BE40" t="b">
        <v>0</v>
      </c>
      <c r="BF40" t="b">
        <v>0</v>
      </c>
      <c r="BG40" t="b">
        <v>0</v>
      </c>
      <c r="BH40" t="b">
        <v>0</v>
      </c>
      <c r="BI40" t="b">
        <v>0</v>
      </c>
      <c r="BJ40" t="b">
        <v>0</v>
      </c>
      <c r="BK40" t="b">
        <v>0</v>
      </c>
      <c r="BL40" t="b">
        <v>0</v>
      </c>
      <c r="BM40" t="b">
        <v>0</v>
      </c>
      <c r="BN40" t="b">
        <v>0</v>
      </c>
      <c r="BO40" t="b">
        <v>0</v>
      </c>
      <c r="BP40" t="b">
        <v>0</v>
      </c>
      <c r="BQ40" t="b">
        <v>0</v>
      </c>
      <c r="BR40" t="b">
        <v>0</v>
      </c>
      <c r="BS40" t="b">
        <v>1</v>
      </c>
      <c r="BT40" t="b">
        <v>0</v>
      </c>
      <c r="BU40" t="b">
        <v>0</v>
      </c>
      <c r="BV40" t="b">
        <v>0</v>
      </c>
      <c r="BW40" t="b">
        <v>0</v>
      </c>
      <c r="BX40" t="b">
        <v>0</v>
      </c>
      <c r="BY40" t="b">
        <v>0</v>
      </c>
      <c r="BZ40" t="b">
        <v>0</v>
      </c>
      <c r="CA40" t="b">
        <v>0</v>
      </c>
      <c r="CB40" t="b">
        <v>0</v>
      </c>
      <c r="CC40" t="b">
        <v>0</v>
      </c>
      <c r="CD40" t="b">
        <v>0</v>
      </c>
      <c r="CE40" t="b">
        <v>0</v>
      </c>
      <c r="CF40" t="b">
        <v>0</v>
      </c>
      <c r="CG40" t="b">
        <v>0</v>
      </c>
      <c r="CH40" t="b">
        <v>0</v>
      </c>
      <c r="CI40" t="b">
        <v>0</v>
      </c>
      <c r="CJ40" t="b">
        <v>0</v>
      </c>
      <c r="CK40" t="b">
        <v>1</v>
      </c>
      <c r="CL40" t="b">
        <v>0</v>
      </c>
      <c r="CM40" t="b">
        <v>0</v>
      </c>
    </row>
    <row r="45" spans="1:91" ht="15.75" customHeight="1" thickBot="1" x14ac:dyDescent="0.3">
      <c r="D45" s="327" t="s">
        <v>374</v>
      </c>
      <c r="E45" s="328"/>
    </row>
    <row r="46" spans="1:91" x14ac:dyDescent="0.25">
      <c r="D46" s="120" t="s">
        <v>376</v>
      </c>
      <c r="E46" s="122" t="s">
        <v>375</v>
      </c>
    </row>
    <row r="47" spans="1:91" ht="15.75" thickBot="1" x14ac:dyDescent="0.3">
      <c r="D47" s="117">
        <f>COUNTIF($D$40:$CM$40,FALSE)</f>
        <v>82</v>
      </c>
      <c r="E47" s="117">
        <f>COUNTIF($D$40:$CM$40,TRUE)</f>
        <v>6</v>
      </c>
    </row>
  </sheetData>
  <mergeCells count="2">
    <mergeCell ref="A2:A40"/>
    <mergeCell ref="D45:E45"/>
  </mergeCells>
  <pageMargins left="0.7" right="0.7" top="0.75" bottom="0.75" header="0.3" footer="0.3"/>
  <pageSetup orientation="portrait" horizontalDpi="300" verticalDpi="300"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zoomScaleNormal="100" workbookViewId="0">
      <selection activeCell="E18" sqref="E18"/>
    </sheetView>
  </sheetViews>
  <sheetFormatPr defaultRowHeight="15" x14ac:dyDescent="0.25"/>
  <cols>
    <col min="1" max="1" width="24.85546875" customWidth="1"/>
    <col min="2" max="2" width="6.5703125" customWidth="1"/>
    <col min="3" max="3" width="16.28515625" bestFit="1" customWidth="1"/>
    <col min="4" max="4" width="19.5703125" bestFit="1" customWidth="1"/>
    <col min="5" max="5" width="16.5703125" bestFit="1" customWidth="1"/>
    <col min="6" max="6" width="11" bestFit="1" customWidth="1"/>
    <col min="7" max="7" width="9.85546875" bestFit="1" customWidth="1"/>
  </cols>
  <sheetData>
    <row r="1" spans="1:17" ht="15.75" thickBot="1" x14ac:dyDescent="0.3"/>
    <row r="2" spans="1:17" ht="16.5" customHeight="1" thickBot="1" x14ac:dyDescent="0.3">
      <c r="A2" s="344" t="s">
        <v>389</v>
      </c>
      <c r="C2" s="329" t="s">
        <v>11</v>
      </c>
      <c r="D2" s="330"/>
      <c r="E2" s="351"/>
      <c r="F2" s="351"/>
      <c r="G2" s="352"/>
      <c r="I2" s="335" t="s">
        <v>335</v>
      </c>
      <c r="J2" s="336"/>
      <c r="K2" s="336"/>
      <c r="L2" s="336"/>
      <c r="M2" s="336"/>
      <c r="N2" s="336"/>
      <c r="O2" s="337"/>
    </row>
    <row r="3" spans="1:17" ht="15" customHeight="1" thickBot="1" x14ac:dyDescent="0.3">
      <c r="A3" s="345"/>
      <c r="C3" s="180" t="s">
        <v>77</v>
      </c>
      <c r="D3" s="183">
        <v>0</v>
      </c>
      <c r="E3" s="184">
        <v>5000</v>
      </c>
      <c r="F3" s="185">
        <v>30000</v>
      </c>
      <c r="G3" s="186">
        <v>5000000</v>
      </c>
      <c r="I3" s="338"/>
      <c r="J3" s="339"/>
      <c r="K3" s="339"/>
      <c r="L3" s="339"/>
      <c r="M3" s="339"/>
      <c r="N3" s="339"/>
      <c r="O3" s="340"/>
    </row>
    <row r="4" spans="1:17" ht="15.75" thickBot="1" x14ac:dyDescent="0.3">
      <c r="A4" s="345"/>
      <c r="C4" s="181" t="s">
        <v>76</v>
      </c>
      <c r="D4" s="182"/>
      <c r="E4" s="187" t="s">
        <v>74</v>
      </c>
      <c r="F4" s="187" t="s">
        <v>75</v>
      </c>
      <c r="G4" s="188" t="s">
        <v>81</v>
      </c>
      <c r="I4" s="341"/>
      <c r="J4" s="342"/>
      <c r="K4" s="342"/>
      <c r="L4" s="342"/>
      <c r="M4" s="342"/>
      <c r="N4" s="342"/>
      <c r="O4" s="343"/>
    </row>
    <row r="5" spans="1:17" x14ac:dyDescent="0.25">
      <c r="A5" s="345"/>
    </row>
    <row r="6" spans="1:17" ht="15.75" thickBot="1" x14ac:dyDescent="0.3">
      <c r="A6" s="345"/>
    </row>
    <row r="7" spans="1:17" ht="15.75" x14ac:dyDescent="0.25">
      <c r="A7" s="345"/>
      <c r="C7" s="353" t="s">
        <v>378</v>
      </c>
      <c r="D7" s="354"/>
      <c r="E7" s="354"/>
      <c r="F7" s="354"/>
      <c r="G7" s="355"/>
      <c r="I7" s="176"/>
      <c r="J7" s="176"/>
      <c r="K7" s="176"/>
      <c r="L7" s="176"/>
      <c r="M7" s="176"/>
      <c r="N7" s="176"/>
      <c r="O7" s="176"/>
      <c r="P7" s="176"/>
      <c r="Q7" s="176"/>
    </row>
    <row r="8" spans="1:17" s="176" customFormat="1" x14ac:dyDescent="0.25">
      <c r="A8" s="345"/>
      <c r="B8"/>
      <c r="C8" s="189"/>
      <c r="D8" s="175" t="s">
        <v>332</v>
      </c>
      <c r="E8" s="175" t="s">
        <v>333</v>
      </c>
      <c r="F8" s="175" t="s">
        <v>334</v>
      </c>
      <c r="G8" s="347"/>
      <c r="I8"/>
      <c r="J8"/>
      <c r="K8"/>
      <c r="L8"/>
      <c r="M8"/>
      <c r="N8"/>
      <c r="O8"/>
      <c r="P8"/>
      <c r="Q8"/>
    </row>
    <row r="9" spans="1:17" x14ac:dyDescent="0.25">
      <c r="A9" s="345"/>
      <c r="C9" s="52" t="str">
        <f>$E$4</f>
        <v>Small</v>
      </c>
      <c r="D9" s="31">
        <f>$E$3</f>
        <v>5000</v>
      </c>
      <c r="E9" s="175">
        <f>COUNTIF(Establishments!$F$2:$F$176,"&lt;=" &amp;D9)</f>
        <v>50</v>
      </c>
      <c r="F9" s="177">
        <f>E9/$E$13</f>
        <v>0.3401360544217687</v>
      </c>
      <c r="G9" s="348"/>
    </row>
    <row r="10" spans="1:17" x14ac:dyDescent="0.25">
      <c r="A10" s="345"/>
      <c r="C10" s="52" t="str">
        <f>$F$4</f>
        <v>Medium</v>
      </c>
      <c r="D10" s="31">
        <f>$F$3</f>
        <v>30000</v>
      </c>
      <c r="E10" s="175">
        <f>COUNTIF(Establishments!$F$2:$F$176,"&lt;=" &amp;D10)-E9</f>
        <v>56</v>
      </c>
      <c r="F10" s="177">
        <f>E10/$E$13</f>
        <v>0.38095238095238093</v>
      </c>
      <c r="G10" s="348"/>
    </row>
    <row r="11" spans="1:17" x14ac:dyDescent="0.25">
      <c r="A11" s="345"/>
      <c r="C11" s="52" t="str">
        <f>$G$4</f>
        <v>Large</v>
      </c>
      <c r="D11" s="31">
        <f>$G$3</f>
        <v>5000000</v>
      </c>
      <c r="E11" s="175">
        <f>COUNTIF(Establishments!$F$2:$F$176,"&lt;=" &amp;D11)-E10-E9</f>
        <v>41</v>
      </c>
      <c r="F11" s="177">
        <f>E11/$E$13</f>
        <v>0.27891156462585032</v>
      </c>
      <c r="G11" s="348"/>
    </row>
    <row r="12" spans="1:17" x14ac:dyDescent="0.25">
      <c r="A12" s="345"/>
      <c r="C12" s="332"/>
      <c r="D12" s="333"/>
      <c r="E12" s="333"/>
      <c r="F12" s="350"/>
      <c r="G12" s="348"/>
    </row>
    <row r="13" spans="1:17" ht="15.75" thickBot="1" x14ac:dyDescent="0.3">
      <c r="A13" s="345"/>
      <c r="C13" s="53" t="s">
        <v>238</v>
      </c>
      <c r="D13" s="174"/>
      <c r="E13" s="178">
        <f>SUM(E9:E11)</f>
        <v>147</v>
      </c>
      <c r="F13" s="179">
        <f>SUM(F9:F11)</f>
        <v>0.99999999999999989</v>
      </c>
      <c r="G13" s="349"/>
    </row>
    <row r="14" spans="1:17" x14ac:dyDescent="0.25">
      <c r="A14" s="345"/>
    </row>
    <row r="15" spans="1:17" x14ac:dyDescent="0.25">
      <c r="A15" s="345"/>
    </row>
    <row r="16" spans="1:17" x14ac:dyDescent="0.25">
      <c r="A16" s="345"/>
    </row>
    <row r="17" spans="1:5" x14ac:dyDescent="0.25">
      <c r="A17" s="345"/>
    </row>
    <row r="18" spans="1:5" x14ac:dyDescent="0.25">
      <c r="A18" s="345"/>
    </row>
    <row r="19" spans="1:5" x14ac:dyDescent="0.25">
      <c r="A19" s="345"/>
    </row>
    <row r="20" spans="1:5" x14ac:dyDescent="0.25">
      <c r="A20" s="345"/>
    </row>
    <row r="21" spans="1:5" ht="15.75" thickBot="1" x14ac:dyDescent="0.3">
      <c r="A21" s="346"/>
    </row>
    <row r="22" spans="1:5" ht="15.75" thickBot="1" x14ac:dyDescent="0.3"/>
    <row r="23" spans="1:5" ht="15.75" x14ac:dyDescent="0.25">
      <c r="C23" s="329" t="s">
        <v>379</v>
      </c>
      <c r="D23" s="330"/>
      <c r="E23" s="331"/>
    </row>
    <row r="24" spans="1:5" x14ac:dyDescent="0.25">
      <c r="C24" s="189"/>
      <c r="D24" s="175" t="s">
        <v>333</v>
      </c>
      <c r="E24" s="251" t="s">
        <v>334</v>
      </c>
    </row>
    <row r="25" spans="1:5" x14ac:dyDescent="0.25">
      <c r="C25" s="52" t="str">
        <f>$E$4</f>
        <v>Small</v>
      </c>
      <c r="D25" s="175">
        <f>COUNTIF('Data For Analysis'!$D$37:$CM$37,"Small")</f>
        <v>24</v>
      </c>
      <c r="E25" s="252">
        <f>D25/SUM($D$25:$D$28)</f>
        <v>0.27272727272727271</v>
      </c>
    </row>
    <row r="26" spans="1:5" x14ac:dyDescent="0.25">
      <c r="C26" s="52" t="str">
        <f>$F$4</f>
        <v>Medium</v>
      </c>
      <c r="D26" s="175">
        <f>COUNTIF('Data For Analysis'!$D$37:$CM$37,"Medium")</f>
        <v>29</v>
      </c>
      <c r="E26" s="252">
        <f t="shared" ref="E26:E28" si="0">D26/SUM($D$25:$D$28)</f>
        <v>0.32954545454545453</v>
      </c>
    </row>
    <row r="27" spans="1:5" x14ac:dyDescent="0.25">
      <c r="C27" s="52" t="str">
        <f>$G$4</f>
        <v>Large</v>
      </c>
      <c r="D27" s="175">
        <f>COUNTIF('Data For Analysis'!$D$37:$CM$37,"Large")</f>
        <v>33</v>
      </c>
      <c r="E27" s="252">
        <f t="shared" si="0"/>
        <v>0.375</v>
      </c>
    </row>
    <row r="28" spans="1:5" x14ac:dyDescent="0.25">
      <c r="C28" s="254" t="s">
        <v>380</v>
      </c>
      <c r="D28" s="175">
        <f>COUNTIF('Data For Analysis'!$D$37:$CM$37,"")</f>
        <v>2</v>
      </c>
      <c r="E28" s="252">
        <f t="shared" si="0"/>
        <v>2.2727272727272728E-2</v>
      </c>
    </row>
    <row r="29" spans="1:5" x14ac:dyDescent="0.25">
      <c r="C29" s="332"/>
      <c r="D29" s="333"/>
      <c r="E29" s="334"/>
    </row>
    <row r="30" spans="1:5" ht="15.75" thickBot="1" x14ac:dyDescent="0.3">
      <c r="C30" s="53" t="s">
        <v>238</v>
      </c>
      <c r="D30" s="178">
        <f>SUM(D25:D28)</f>
        <v>88</v>
      </c>
      <c r="E30" s="253"/>
    </row>
  </sheetData>
  <mergeCells count="8">
    <mergeCell ref="C23:E23"/>
    <mergeCell ref="C29:E29"/>
    <mergeCell ref="I2:O4"/>
    <mergeCell ref="A2:A21"/>
    <mergeCell ref="G8:G13"/>
    <mergeCell ref="C12:F12"/>
    <mergeCell ref="C2:G2"/>
    <mergeCell ref="C7:G7"/>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T41"/>
  <sheetViews>
    <sheetView zoomScale="70" zoomScaleNormal="70" workbookViewId="0">
      <pane xSplit="3" ySplit="1" topLeftCell="D56" activePane="bottomRight" state="frozen"/>
      <selection pane="topRight" activeCell="C1" sqref="C1"/>
      <selection pane="bottomLeft" activeCell="A2" sqref="A2"/>
      <selection pane="bottomRight" activeCell="C4" sqref="C4"/>
    </sheetView>
  </sheetViews>
  <sheetFormatPr defaultRowHeight="15" x14ac:dyDescent="0.25"/>
  <cols>
    <col min="1" max="1" width="28.7109375" customWidth="1"/>
    <col min="2" max="2" width="15.5703125" style="1" bestFit="1" customWidth="1"/>
    <col min="3" max="3" width="25.42578125" style="1" bestFit="1" customWidth="1"/>
    <col min="4" max="4" width="20.140625" bestFit="1" customWidth="1"/>
    <col min="5" max="5" width="19" bestFit="1" customWidth="1"/>
    <col min="6" max="6" width="19.7109375" bestFit="1" customWidth="1"/>
    <col min="7" max="7" width="17.5703125" bestFit="1" customWidth="1"/>
    <col min="8" max="8" width="18.7109375" bestFit="1" customWidth="1"/>
    <col min="9" max="9" width="20.5703125" bestFit="1" customWidth="1"/>
    <col min="10" max="10" width="17.7109375" bestFit="1" customWidth="1"/>
    <col min="11" max="11" width="18.7109375" bestFit="1" customWidth="1"/>
    <col min="12" max="12" width="17.28515625" bestFit="1" customWidth="1"/>
    <col min="13" max="13" width="16.85546875" bestFit="1" customWidth="1"/>
    <col min="14" max="15" width="18.7109375" bestFit="1" customWidth="1"/>
    <col min="16" max="16" width="17.28515625" bestFit="1" customWidth="1"/>
    <col min="17" max="17" width="16.85546875" bestFit="1" customWidth="1"/>
    <col min="18" max="18" width="17.28515625" bestFit="1" customWidth="1"/>
    <col min="19" max="19" width="22.28515625" bestFit="1" customWidth="1"/>
    <col min="20" max="21" width="16.85546875" bestFit="1" customWidth="1"/>
    <col min="22" max="22" width="21.5703125" bestFit="1" customWidth="1"/>
    <col min="23" max="23" width="18.7109375" bestFit="1" customWidth="1"/>
    <col min="24" max="24" width="22.28515625" bestFit="1" customWidth="1"/>
    <col min="25" max="26" width="17.28515625" bestFit="1" customWidth="1"/>
    <col min="27" max="27" width="17.5703125" bestFit="1" customWidth="1"/>
    <col min="28" max="31" width="17.28515625" bestFit="1" customWidth="1"/>
    <col min="32" max="32" width="16.85546875" bestFit="1" customWidth="1"/>
    <col min="33" max="41" width="17.28515625" bestFit="1" customWidth="1"/>
    <col min="42" max="42" width="16.85546875" bestFit="1" customWidth="1"/>
    <col min="43" max="57" width="17.28515625" bestFit="1" customWidth="1"/>
    <col min="58" max="58" width="16.85546875" bestFit="1" customWidth="1"/>
    <col min="59" max="66" width="17.28515625" bestFit="1" customWidth="1"/>
    <col min="67" max="67" width="16.85546875" bestFit="1" customWidth="1"/>
    <col min="68" max="76" width="17.28515625" bestFit="1" customWidth="1"/>
    <col min="77" max="78" width="11.85546875" bestFit="1" customWidth="1"/>
    <col min="79" max="80" width="12.28515625" bestFit="1" customWidth="1"/>
    <col min="81" max="81" width="12" bestFit="1" customWidth="1"/>
    <col min="82" max="82" width="13" bestFit="1" customWidth="1"/>
    <col min="83" max="83" width="11.85546875" bestFit="1" customWidth="1"/>
    <col min="84" max="84" width="19.85546875" bestFit="1" customWidth="1"/>
    <col min="85" max="85" width="17" bestFit="1" customWidth="1"/>
    <col min="86" max="86" width="16.140625" bestFit="1" customWidth="1"/>
    <col min="87" max="87" width="19.42578125" bestFit="1" customWidth="1"/>
    <col min="88" max="88" width="18.42578125" bestFit="1" customWidth="1"/>
    <col min="89" max="89" width="19.7109375" bestFit="1" customWidth="1"/>
    <col min="90" max="90" width="17.7109375" bestFit="1" customWidth="1"/>
    <col min="91" max="91" width="14.28515625" bestFit="1" customWidth="1"/>
    <col min="92" max="92" width="12.42578125" bestFit="1" customWidth="1"/>
    <col min="93" max="93" width="13.28515625" customWidth="1"/>
  </cols>
  <sheetData>
    <row r="1" spans="1:98" s="6" customFormat="1" ht="15.75" thickBot="1" x14ac:dyDescent="0.3">
      <c r="B1" s="6" t="str">
        <f>'Data For Analysis'!B1</f>
        <v>Field</v>
      </c>
      <c r="C1" s="6" t="str">
        <f>'Data For Analysis'!C1</f>
        <v>Type</v>
      </c>
      <c r="D1" s="6" t="str">
        <f>'Data For Analysis'!D1</f>
        <v>001-13</v>
      </c>
      <c r="E1" s="6" t="str">
        <f>'Data For Analysis'!E1</f>
        <v>002-13</v>
      </c>
      <c r="F1" s="6" t="str">
        <f>'Data For Analysis'!F1</f>
        <v>003-13</v>
      </c>
      <c r="G1" s="6" t="str">
        <f>'Data For Analysis'!G1</f>
        <v>004-13</v>
      </c>
      <c r="H1" s="6" t="str">
        <f>'Data For Analysis'!H1</f>
        <v>005-13</v>
      </c>
      <c r="I1" s="6" t="str">
        <f>'Data For Analysis'!I1</f>
        <v>006-13</v>
      </c>
      <c r="J1" s="6" t="str">
        <f>'Data For Analysis'!J1</f>
        <v>007-13</v>
      </c>
      <c r="K1" s="6" t="str">
        <f>'Data For Analysis'!K1</f>
        <v>008-13</v>
      </c>
      <c r="L1" s="6" t="str">
        <f>'Data For Analysis'!L1</f>
        <v>009-13</v>
      </c>
      <c r="M1" s="6" t="str">
        <f>'Data For Analysis'!M1</f>
        <v>010-13</v>
      </c>
      <c r="N1" s="6" t="str">
        <f>'Data For Analysis'!N1</f>
        <v>011-13</v>
      </c>
      <c r="O1" s="6" t="str">
        <f>'Data For Analysis'!O1</f>
        <v>012-13</v>
      </c>
      <c r="P1" s="6" t="str">
        <f>'Data For Analysis'!P1</f>
        <v>013-13</v>
      </c>
      <c r="Q1" s="6" t="str">
        <f>'Data For Analysis'!Q1</f>
        <v>014-13</v>
      </c>
      <c r="R1" s="6" t="str">
        <f>'Data For Analysis'!R1</f>
        <v>015-13</v>
      </c>
      <c r="S1" s="6" t="str">
        <f>'Data For Analysis'!S1</f>
        <v>017-13</v>
      </c>
      <c r="T1" s="6" t="str">
        <f>'Data For Analysis'!T1</f>
        <v>018-13</v>
      </c>
      <c r="U1" s="6" t="str">
        <f>'Data For Analysis'!U1</f>
        <v>019-13</v>
      </c>
      <c r="V1" s="6" t="str">
        <f>'Data For Analysis'!V1</f>
        <v>020-13</v>
      </c>
      <c r="W1" s="6" t="str">
        <f>'Data For Analysis'!W1</f>
        <v>021-13</v>
      </c>
      <c r="X1" s="6" t="str">
        <f>'Data For Analysis'!X1</f>
        <v>022-13</v>
      </c>
      <c r="Y1" s="6" t="str">
        <f>'Data For Analysis'!Y1</f>
        <v>023-13</v>
      </c>
      <c r="Z1" s="6" t="str">
        <f>'Data For Analysis'!Z1</f>
        <v>024-13</v>
      </c>
      <c r="AA1" s="6" t="str">
        <f>'Data For Analysis'!AA1</f>
        <v>026-13</v>
      </c>
      <c r="AB1" s="6" t="str">
        <f>'Data For Analysis'!AB1</f>
        <v>027-13</v>
      </c>
      <c r="AC1" s="6" t="str">
        <f>'Data For Analysis'!AC1</f>
        <v>028-13</v>
      </c>
      <c r="AD1" s="6" t="str">
        <f>'Data For Analysis'!AD1</f>
        <v>029-13</v>
      </c>
      <c r="AE1" s="6" t="str">
        <f>'Data For Analysis'!AE1</f>
        <v>030-13</v>
      </c>
      <c r="AF1" s="6" t="str">
        <f>'Data For Analysis'!AF1</f>
        <v>031-13</v>
      </c>
      <c r="AG1" s="6" t="str">
        <f>'Data For Analysis'!AG1</f>
        <v>032-13</v>
      </c>
      <c r="AH1" s="6" t="str">
        <f>'Data For Analysis'!AH1</f>
        <v>033-13</v>
      </c>
      <c r="AI1" s="6" t="str">
        <f>'Data For Analysis'!AI1</f>
        <v>034-13</v>
      </c>
      <c r="AJ1" s="6" t="str">
        <f>'Data For Analysis'!AJ1</f>
        <v>035-13</v>
      </c>
      <c r="AK1" s="6" t="str">
        <f>'Data For Analysis'!AK1</f>
        <v>036-13</v>
      </c>
      <c r="AL1" s="6" t="str">
        <f>'Data For Analysis'!AL1</f>
        <v>037-13</v>
      </c>
      <c r="AM1" s="6" t="str">
        <f>'Data For Analysis'!AM1</f>
        <v>038-13</v>
      </c>
      <c r="AN1" s="6" t="str">
        <f>'Data For Analysis'!AN1</f>
        <v>039-13</v>
      </c>
      <c r="AO1" s="6" t="str">
        <f>'Data For Analysis'!AO1</f>
        <v>040-13</v>
      </c>
      <c r="AP1" s="6" t="str">
        <f>'Data For Analysis'!AP1</f>
        <v>041-13</v>
      </c>
      <c r="AQ1" s="6" t="str">
        <f>'Data For Analysis'!AQ1</f>
        <v>042-13</v>
      </c>
      <c r="AR1" s="6" t="str">
        <f>'Data For Analysis'!AR1</f>
        <v>043-13</v>
      </c>
      <c r="AS1" s="6" t="str">
        <f>'Data For Analysis'!AS1</f>
        <v>045-13</v>
      </c>
      <c r="AT1" s="6" t="str">
        <f>'Data For Analysis'!AT1</f>
        <v>046-13</v>
      </c>
      <c r="AU1" s="6" t="str">
        <f>'Data For Analysis'!AU1</f>
        <v>047-13</v>
      </c>
      <c r="AV1" s="6" t="str">
        <f>'Data For Analysis'!AV1</f>
        <v>048-13</v>
      </c>
      <c r="AW1" s="6" t="str">
        <f>'Data For Analysis'!AW1</f>
        <v>049-13</v>
      </c>
      <c r="AX1" s="6" t="str">
        <f>'Data For Analysis'!AX1</f>
        <v>050-13</v>
      </c>
      <c r="AY1" s="6" t="str">
        <f>'Data For Analysis'!AY1</f>
        <v>052-13</v>
      </c>
      <c r="AZ1" s="6" t="str">
        <f>'Data For Analysis'!AZ1</f>
        <v>053-13</v>
      </c>
      <c r="BA1" s="6" t="str">
        <f>'Data For Analysis'!BA1</f>
        <v>054-13</v>
      </c>
      <c r="BB1" s="6" t="str">
        <f>'Data For Analysis'!BB1</f>
        <v>055-13</v>
      </c>
      <c r="BC1" s="6" t="str">
        <f>'Data For Analysis'!BC1</f>
        <v>057-13</v>
      </c>
      <c r="BD1" s="6" t="str">
        <f>'Data For Analysis'!BD1</f>
        <v>058-13</v>
      </c>
      <c r="BE1" s="6" t="str">
        <f>'Data For Analysis'!BE1</f>
        <v>059-13</v>
      </c>
      <c r="BF1" s="6" t="str">
        <f>'Data For Analysis'!BF1</f>
        <v>060-13</v>
      </c>
      <c r="BG1" s="6" t="str">
        <f>'Data For Analysis'!BG1</f>
        <v>061-13</v>
      </c>
      <c r="BH1" s="6" t="str">
        <f>'Data For Analysis'!BH1</f>
        <v>062-13</v>
      </c>
      <c r="BI1" s="6" t="str">
        <f>'Data For Analysis'!BI1</f>
        <v>063-13</v>
      </c>
      <c r="BJ1" s="6" t="str">
        <f>'Data For Analysis'!BJ1</f>
        <v>064-13</v>
      </c>
      <c r="BK1" s="6" t="str">
        <f>'Data For Analysis'!BK1</f>
        <v>065-13</v>
      </c>
      <c r="BL1" s="6" t="str">
        <f>'Data For Analysis'!BL1</f>
        <v>067-13</v>
      </c>
      <c r="BM1" s="6" t="str">
        <f>'Data For Analysis'!BM1</f>
        <v>068-13</v>
      </c>
      <c r="BN1" s="6" t="str">
        <f>'Data For Analysis'!BN1</f>
        <v>069-13</v>
      </c>
      <c r="BO1" s="6" t="str">
        <f>'Data For Analysis'!BO1</f>
        <v>070-13</v>
      </c>
      <c r="BP1" s="6" t="str">
        <f>'Data For Analysis'!BP1</f>
        <v>071-13</v>
      </c>
      <c r="BQ1" s="6" t="str">
        <f>'Data For Analysis'!BQ1</f>
        <v>072-13</v>
      </c>
      <c r="BR1" s="6" t="str">
        <f>'Data For Analysis'!BR1</f>
        <v>073-13</v>
      </c>
      <c r="BS1" s="6" t="str">
        <f>'Data For Analysis'!BS1</f>
        <v>074-13</v>
      </c>
      <c r="BT1" s="6" t="str">
        <f>'Data For Analysis'!BT1</f>
        <v>075-13</v>
      </c>
      <c r="BU1" s="6" t="str">
        <f>'Data For Analysis'!BU1</f>
        <v>076-13</v>
      </c>
      <c r="BV1" s="6" t="str">
        <f>'Data For Analysis'!BV1</f>
        <v>077-13</v>
      </c>
      <c r="BW1" s="6" t="str">
        <f>'Data For Analysis'!BW1</f>
        <v>078-13</v>
      </c>
      <c r="BX1" s="6" t="str">
        <f>'Data For Analysis'!BX1</f>
        <v>079-13</v>
      </c>
      <c r="BY1" s="6" t="str">
        <f>'Data For Analysis'!BY1</f>
        <v>080-13</v>
      </c>
      <c r="BZ1" s="6" t="str">
        <f>'Data For Analysis'!BZ1</f>
        <v>081-13</v>
      </c>
      <c r="CA1" s="6" t="str">
        <f>'Data For Analysis'!CA1</f>
        <v>082-13</v>
      </c>
      <c r="CB1" s="6" t="str">
        <f>'Data For Analysis'!CB1</f>
        <v>083-13</v>
      </c>
      <c r="CC1" s="6" t="str">
        <f>'Data For Analysis'!CC1</f>
        <v>084-13</v>
      </c>
      <c r="CD1" s="6" t="str">
        <f>'Data For Analysis'!CD1</f>
        <v>085-13</v>
      </c>
      <c r="CE1" s="6" t="str">
        <f>'Data For Analysis'!CE1</f>
        <v>086-13</v>
      </c>
      <c r="CF1" s="6" t="str">
        <f>'Data For Analysis'!CF1</f>
        <v>087-13</v>
      </c>
      <c r="CG1" s="6" t="str">
        <f>'Data For Analysis'!CG1</f>
        <v>088-13</v>
      </c>
      <c r="CH1" s="6" t="str">
        <f>'Data For Analysis'!CH1</f>
        <v>089-13</v>
      </c>
      <c r="CI1" s="6" t="str">
        <f>'Data For Analysis'!CI1</f>
        <v>090-13</v>
      </c>
      <c r="CJ1" s="6" t="str">
        <f>'Data For Analysis'!CJ1</f>
        <v>091-13</v>
      </c>
      <c r="CK1" s="6" t="str">
        <f>'Data For Analysis'!CK1</f>
        <v>092-13</v>
      </c>
      <c r="CL1" s="6" t="str">
        <f>'Data For Analysis'!CL1</f>
        <v>093-13</v>
      </c>
      <c r="CM1" s="6" t="str">
        <f>'Data For Analysis'!CM1</f>
        <v>094-13</v>
      </c>
    </row>
    <row r="2" spans="1:98" ht="60" customHeight="1" x14ac:dyDescent="0.25">
      <c r="A2" s="344" t="s">
        <v>361</v>
      </c>
      <c r="B2" s="1" t="str">
        <f>'Data For Analysis'!B2</f>
        <v>1.a.</v>
      </c>
      <c r="C2" s="6" t="str">
        <f>'Data For Analysis'!C2</f>
        <v>NA</v>
      </c>
      <c r="D2" s="7" t="str">
        <f>'Data For Analysis'!D2</f>
        <v>SENSITIVE - REMOVED</v>
      </c>
      <c r="E2" s="7">
        <f>'Data For Analysis'!E2</f>
        <v>0</v>
      </c>
      <c r="F2" s="7">
        <f>'Data For Analysis'!F2</f>
        <v>0</v>
      </c>
      <c r="G2" s="7">
        <f>'Data For Analysis'!G2</f>
        <v>0</v>
      </c>
      <c r="H2" s="7">
        <f>'Data For Analysis'!H2</f>
        <v>0</v>
      </c>
      <c r="I2" s="7">
        <f>'Data For Analysis'!I2</f>
        <v>0</v>
      </c>
      <c r="J2" s="7">
        <f>'Data For Analysis'!J2</f>
        <v>0</v>
      </c>
      <c r="K2" s="7">
        <f>'Data For Analysis'!K2</f>
        <v>0</v>
      </c>
      <c r="L2" s="7">
        <f>'Data For Analysis'!L2</f>
        <v>0</v>
      </c>
      <c r="M2" s="7">
        <f>'Data For Analysis'!M2</f>
        <v>0</v>
      </c>
      <c r="N2" s="7">
        <f>'Data For Analysis'!N2</f>
        <v>0</v>
      </c>
      <c r="O2" s="7">
        <f>'Data For Analysis'!O2</f>
        <v>0</v>
      </c>
      <c r="P2" s="7">
        <f>'Data For Analysis'!P2</f>
        <v>0</v>
      </c>
      <c r="Q2" s="7">
        <f>'Data For Analysis'!Q2</f>
        <v>0</v>
      </c>
      <c r="R2" s="7">
        <f>'Data For Analysis'!R2</f>
        <v>0</v>
      </c>
      <c r="S2" s="7">
        <f>'Data For Analysis'!S2</f>
        <v>0</v>
      </c>
      <c r="T2" s="7">
        <f>'Data For Analysis'!T2</f>
        <v>0</v>
      </c>
      <c r="U2" s="7">
        <f>'Data For Analysis'!U2</f>
        <v>0</v>
      </c>
      <c r="V2" s="7">
        <f>'Data For Analysis'!V2</f>
        <v>0</v>
      </c>
      <c r="W2" s="7">
        <f>'Data For Analysis'!W2</f>
        <v>0</v>
      </c>
      <c r="X2" s="7">
        <f>'Data For Analysis'!X2</f>
        <v>0</v>
      </c>
      <c r="Y2" s="7">
        <f>'Data For Analysis'!Y2</f>
        <v>0</v>
      </c>
      <c r="Z2" s="7">
        <f>'Data For Analysis'!Z2</f>
        <v>0</v>
      </c>
      <c r="AA2" s="7">
        <f>'Data For Analysis'!AA2</f>
        <v>0</v>
      </c>
      <c r="AB2" s="7">
        <f>'Data For Analysis'!AB2</f>
        <v>0</v>
      </c>
      <c r="AC2" s="7">
        <f>'Data For Analysis'!AC2</f>
        <v>0</v>
      </c>
      <c r="AD2" s="7">
        <f>'Data For Analysis'!AD2</f>
        <v>0</v>
      </c>
      <c r="AE2" s="7">
        <f>'Data For Analysis'!AE2</f>
        <v>0</v>
      </c>
      <c r="AF2" s="7">
        <f>'Data For Analysis'!AF2</f>
        <v>0</v>
      </c>
      <c r="AG2" s="7">
        <f>'Data For Analysis'!AG2</f>
        <v>0</v>
      </c>
      <c r="AH2" s="7">
        <f>'Data For Analysis'!AH2</f>
        <v>0</v>
      </c>
      <c r="AI2" s="7">
        <f>'Data For Analysis'!AI2</f>
        <v>0</v>
      </c>
      <c r="AJ2" s="7">
        <f>'Data For Analysis'!AJ2</f>
        <v>0</v>
      </c>
      <c r="AK2" s="7">
        <f>'Data For Analysis'!AK2</f>
        <v>0</v>
      </c>
      <c r="AL2" s="7">
        <f>'Data For Analysis'!AL2</f>
        <v>0</v>
      </c>
      <c r="AM2" s="7">
        <f>'Data For Analysis'!AM2</f>
        <v>0</v>
      </c>
      <c r="AN2" s="7">
        <f>'Data For Analysis'!AN2</f>
        <v>0</v>
      </c>
      <c r="AO2" s="7">
        <f>'Data For Analysis'!AO2</f>
        <v>0</v>
      </c>
      <c r="AP2" s="7">
        <f>'Data For Analysis'!AP2</f>
        <v>0</v>
      </c>
      <c r="AQ2" s="7">
        <f>'Data For Analysis'!AQ2</f>
        <v>0</v>
      </c>
      <c r="AR2" s="7">
        <f>'Data For Analysis'!AR2</f>
        <v>0</v>
      </c>
      <c r="AS2" s="7">
        <f>'Data For Analysis'!AS2</f>
        <v>0</v>
      </c>
      <c r="AT2" s="7">
        <f>'Data For Analysis'!AT2</f>
        <v>0</v>
      </c>
      <c r="AU2" s="7">
        <f>'Data For Analysis'!AU2</f>
        <v>0</v>
      </c>
      <c r="AV2" s="7">
        <f>'Data For Analysis'!AV2</f>
        <v>0</v>
      </c>
      <c r="AW2" s="7">
        <f>'Data For Analysis'!AW2</f>
        <v>0</v>
      </c>
      <c r="AX2" s="7">
        <f>'Data For Analysis'!AX2</f>
        <v>0</v>
      </c>
      <c r="AY2" s="7">
        <f>'Data For Analysis'!AY2</f>
        <v>0</v>
      </c>
      <c r="AZ2" s="7">
        <f>'Data For Analysis'!AZ2</f>
        <v>0</v>
      </c>
      <c r="BA2" s="7">
        <f>'Data For Analysis'!BA2</f>
        <v>0</v>
      </c>
      <c r="BB2" s="7">
        <f>'Data For Analysis'!BB2</f>
        <v>0</v>
      </c>
      <c r="BC2" s="7">
        <f>'Data For Analysis'!BC2</f>
        <v>0</v>
      </c>
      <c r="BD2" s="7">
        <f>'Data For Analysis'!BD2</f>
        <v>0</v>
      </c>
      <c r="BE2" s="7">
        <f>'Data For Analysis'!BE2</f>
        <v>0</v>
      </c>
      <c r="BF2" s="7">
        <f>'Data For Analysis'!BF2</f>
        <v>0</v>
      </c>
      <c r="BG2" s="7">
        <f>'Data For Analysis'!BG2</f>
        <v>0</v>
      </c>
      <c r="BH2" s="7">
        <f>'Data For Analysis'!BH2</f>
        <v>0</v>
      </c>
      <c r="BI2" s="7">
        <f>'Data For Analysis'!BI2</f>
        <v>0</v>
      </c>
      <c r="BJ2" s="7">
        <f>'Data For Analysis'!BJ2</f>
        <v>0</v>
      </c>
      <c r="BK2" s="7">
        <f>'Data For Analysis'!BK2</f>
        <v>0</v>
      </c>
      <c r="BL2" s="7">
        <f>'Data For Analysis'!BL2</f>
        <v>0</v>
      </c>
      <c r="BM2" s="7">
        <f>'Data For Analysis'!BM2</f>
        <v>0</v>
      </c>
      <c r="BN2" s="7">
        <f>'Data For Analysis'!BN2</f>
        <v>0</v>
      </c>
      <c r="BO2" s="7">
        <f>'Data For Analysis'!BO2</f>
        <v>0</v>
      </c>
      <c r="BP2" s="7">
        <f>'Data For Analysis'!BP2</f>
        <v>0</v>
      </c>
      <c r="BQ2" s="7">
        <f>'Data For Analysis'!BQ2</f>
        <v>0</v>
      </c>
      <c r="BR2" s="7">
        <f>'Data For Analysis'!BR2</f>
        <v>0</v>
      </c>
      <c r="BS2" s="7">
        <f>'Data For Analysis'!BS2</f>
        <v>0</v>
      </c>
      <c r="BT2" s="7">
        <f>'Data For Analysis'!BT2</f>
        <v>0</v>
      </c>
      <c r="BU2" s="7">
        <f>'Data For Analysis'!BU2</f>
        <v>0</v>
      </c>
      <c r="BV2" s="7">
        <f>'Data For Analysis'!BV2</f>
        <v>0</v>
      </c>
      <c r="BW2" s="7">
        <f>'Data For Analysis'!BW2</f>
        <v>0</v>
      </c>
      <c r="BX2" s="7">
        <f>'Data For Analysis'!BX2</f>
        <v>0</v>
      </c>
      <c r="BY2" s="7">
        <f>'Data For Analysis'!BY2</f>
        <v>0</v>
      </c>
      <c r="BZ2" s="7">
        <f>'Data For Analysis'!BZ2</f>
        <v>0</v>
      </c>
      <c r="CA2" s="7">
        <f>'Data For Analysis'!CA2</f>
        <v>0</v>
      </c>
      <c r="CB2" s="7">
        <f>'Data For Analysis'!CB2</f>
        <v>0</v>
      </c>
      <c r="CC2" s="7">
        <f>'Data For Analysis'!CC2</f>
        <v>0</v>
      </c>
      <c r="CD2" s="7">
        <f>'Data For Analysis'!CD2</f>
        <v>0</v>
      </c>
      <c r="CE2" s="7">
        <f>'Data For Analysis'!CE2</f>
        <v>0</v>
      </c>
      <c r="CF2" s="7">
        <f>'Data For Analysis'!CF2</f>
        <v>0</v>
      </c>
      <c r="CG2" s="7">
        <f>'Data For Analysis'!CG2</f>
        <v>0</v>
      </c>
      <c r="CH2" s="7">
        <f>'Data For Analysis'!CH2</f>
        <v>0</v>
      </c>
      <c r="CI2" s="7">
        <f>'Data For Analysis'!CI2</f>
        <v>0</v>
      </c>
      <c r="CJ2" s="7">
        <f>'Data For Analysis'!CJ2</f>
        <v>0</v>
      </c>
      <c r="CK2" s="7">
        <f>'Data For Analysis'!CK2</f>
        <v>0</v>
      </c>
      <c r="CL2" s="7">
        <f>'Data For Analysis'!CL2</f>
        <v>0</v>
      </c>
      <c r="CM2" s="7">
        <f>'Data For Analysis'!CM2</f>
        <v>0</v>
      </c>
      <c r="CN2" s="7"/>
      <c r="CO2" s="7"/>
      <c r="CP2" s="7"/>
      <c r="CQ2" s="7"/>
      <c r="CR2" s="7"/>
      <c r="CS2" s="7"/>
      <c r="CT2" s="7"/>
    </row>
    <row r="3" spans="1:98" ht="30" x14ac:dyDescent="0.25">
      <c r="A3" s="345"/>
      <c r="B3" s="1" t="str">
        <f>'Data For Analysis'!B3</f>
        <v>1.b.</v>
      </c>
      <c r="C3" s="6" t="str">
        <f>'Data For Analysis'!C3</f>
        <v>NA</v>
      </c>
      <c r="D3" s="8">
        <f>'Data For Analysis'!D3</f>
        <v>41579</v>
      </c>
      <c r="E3" s="8">
        <f>'Data For Analysis'!E3</f>
        <v>41582</v>
      </c>
      <c r="F3" s="8">
        <f>'Data For Analysis'!F3</f>
        <v>41582</v>
      </c>
      <c r="G3" s="8">
        <f>'Data For Analysis'!G3</f>
        <v>41582</v>
      </c>
      <c r="H3" s="8">
        <f>'Data For Analysis'!H3</f>
        <v>41583</v>
      </c>
      <c r="I3" s="8">
        <f>'Data For Analysis'!I3</f>
        <v>41583</v>
      </c>
      <c r="J3" s="8">
        <f>'Data For Analysis'!J3</f>
        <v>41583</v>
      </c>
      <c r="K3" s="8">
        <f>'Data For Analysis'!K3</f>
        <v>41583</v>
      </c>
      <c r="L3" s="8">
        <f>'Data For Analysis'!L3</f>
        <v>41584</v>
      </c>
      <c r="M3" s="8">
        <f>'Data For Analysis'!M3</f>
        <v>41584</v>
      </c>
      <c r="N3" s="8">
        <f>'Data For Analysis'!N3</f>
        <v>41584</v>
      </c>
      <c r="O3" s="8">
        <f>'Data For Analysis'!O3</f>
        <v>41585</v>
      </c>
      <c r="P3" s="8">
        <f>'Data For Analysis'!P3</f>
        <v>41585</v>
      </c>
      <c r="Q3" s="8">
        <f>'Data For Analysis'!Q3</f>
        <v>41585</v>
      </c>
      <c r="R3" s="8">
        <f>'Data For Analysis'!R3</f>
        <v>41584</v>
      </c>
      <c r="S3" s="8">
        <f>'Data For Analysis'!S3</f>
        <v>41585</v>
      </c>
      <c r="T3" s="8">
        <f>'Data For Analysis'!T3</f>
        <v>41585</v>
      </c>
      <c r="U3" s="8">
        <f>'Data For Analysis'!U3</f>
        <v>41585</v>
      </c>
      <c r="V3" s="8">
        <f>'Data For Analysis'!V3</f>
        <v>41585</v>
      </c>
      <c r="W3" s="8">
        <f>'Data For Analysis'!W3</f>
        <v>41586</v>
      </c>
      <c r="X3" s="8">
        <f>'Data For Analysis'!X3</f>
        <v>41586</v>
      </c>
      <c r="Y3" s="8">
        <f>'Data For Analysis'!Y3</f>
        <v>41586</v>
      </c>
      <c r="Z3" s="8">
        <f>'Data For Analysis'!Z3</f>
        <v>41586</v>
      </c>
      <c r="AA3" s="8">
        <f>'Data For Analysis'!AA3</f>
        <v>41585</v>
      </c>
      <c r="AB3" s="8">
        <f>'Data For Analysis'!AB3</f>
        <v>41585</v>
      </c>
      <c r="AC3" s="8">
        <f>'Data For Analysis'!AC3</f>
        <v>41586</v>
      </c>
      <c r="AD3" s="8">
        <f>'Data For Analysis'!AD3</f>
        <v>41586</v>
      </c>
      <c r="AE3" s="8">
        <f>'Data For Analysis'!AE3</f>
        <v>41590</v>
      </c>
      <c r="AF3" s="8">
        <f>'Data For Analysis'!AF3</f>
        <v>41590</v>
      </c>
      <c r="AG3" s="8">
        <f>'Data For Analysis'!AG3</f>
        <v>41590</v>
      </c>
      <c r="AH3" s="8">
        <f>'Data For Analysis'!AH3</f>
        <v>41590</v>
      </c>
      <c r="AI3" s="8">
        <f>'Data For Analysis'!AI3</f>
        <v>41590</v>
      </c>
      <c r="AJ3" s="8">
        <f>'Data For Analysis'!AJ3</f>
        <v>41590</v>
      </c>
      <c r="AK3" s="8">
        <f>'Data For Analysis'!AK3</f>
        <v>41583</v>
      </c>
      <c r="AL3" s="8">
        <f>'Data For Analysis'!AL3</f>
        <v>41583</v>
      </c>
      <c r="AM3" s="8">
        <f>'Data For Analysis'!AM3</f>
        <v>41584</v>
      </c>
      <c r="AN3" s="8">
        <f>'Data For Analysis'!AN3</f>
        <v>41585</v>
      </c>
      <c r="AO3" s="8">
        <f>'Data For Analysis'!AO3</f>
        <v>41586</v>
      </c>
      <c r="AP3" s="8">
        <f>'Data For Analysis'!AP3</f>
        <v>41590</v>
      </c>
      <c r="AQ3" s="8">
        <f>'Data For Analysis'!AQ3</f>
        <v>41591</v>
      </c>
      <c r="AR3" s="8">
        <f>'Data For Analysis'!AR3</f>
        <v>41591</v>
      </c>
      <c r="AS3" s="8">
        <f>'Data For Analysis'!AS3</f>
        <v>41591</v>
      </c>
      <c r="AT3" s="8">
        <f>'Data For Analysis'!AT3</f>
        <v>41591</v>
      </c>
      <c r="AU3" s="8">
        <f>'Data For Analysis'!AU3</f>
        <v>41591</v>
      </c>
      <c r="AV3" s="8">
        <f>'Data For Analysis'!AV3</f>
        <v>41591</v>
      </c>
      <c r="AW3" s="8">
        <f>'Data For Analysis'!AW3</f>
        <v>41591</v>
      </c>
      <c r="AX3" s="8">
        <f>'Data For Analysis'!AX3</f>
        <v>41589</v>
      </c>
      <c r="AY3" s="8">
        <f>'Data For Analysis'!AY3</f>
        <v>41591</v>
      </c>
      <c r="AZ3" s="8" t="str">
        <f>'Data For Analysis'!AZ3</f>
        <v>11/6/2013, 11/13/2013</v>
      </c>
      <c r="BA3" s="8">
        <f>'Data For Analysis'!BA3</f>
        <v>41583</v>
      </c>
      <c r="BB3" s="8">
        <f>'Data For Analysis'!BB3</f>
        <v>41584</v>
      </c>
      <c r="BC3" s="8">
        <f>'Data For Analysis'!BC3</f>
        <v>0</v>
      </c>
      <c r="BD3" s="8">
        <f>'Data For Analysis'!BD3</f>
        <v>41585</v>
      </c>
      <c r="BE3" s="8">
        <f>'Data For Analysis'!BE3</f>
        <v>41586</v>
      </c>
      <c r="BF3" s="8">
        <f>'Data For Analysis'!BF3</f>
        <v>41590</v>
      </c>
      <c r="BG3" s="8">
        <f>'Data For Analysis'!BG3</f>
        <v>41591</v>
      </c>
      <c r="BH3" s="8">
        <f>'Data For Analysis'!BH3</f>
        <v>41591</v>
      </c>
      <c r="BI3" s="8">
        <f>'Data For Analysis'!BI3</f>
        <v>41591</v>
      </c>
      <c r="BJ3" s="8">
        <f>'Data For Analysis'!BJ3</f>
        <v>41591</v>
      </c>
      <c r="BK3" s="8">
        <f>'Data For Analysis'!BK3</f>
        <v>41591</v>
      </c>
      <c r="BL3" s="8">
        <f>'Data For Analysis'!BL3</f>
        <v>41592</v>
      </c>
      <c r="BM3" s="8">
        <f>'Data For Analysis'!BM3</f>
        <v>41592</v>
      </c>
      <c r="BN3" s="8">
        <f>'Data For Analysis'!BN3</f>
        <v>41592</v>
      </c>
      <c r="BO3" s="8">
        <f>'Data For Analysis'!BO3</f>
        <v>41592</v>
      </c>
      <c r="BP3" s="8">
        <f>'Data For Analysis'!BP3</f>
        <v>41592</v>
      </c>
      <c r="BQ3" s="8">
        <f>'Data For Analysis'!BQ3</f>
        <v>41592</v>
      </c>
      <c r="BR3" s="8">
        <f>'Data For Analysis'!BR3</f>
        <v>41592</v>
      </c>
      <c r="BS3" s="8">
        <f>'Data For Analysis'!BS3</f>
        <v>41592</v>
      </c>
      <c r="BT3" s="8">
        <f>'Data For Analysis'!BT3</f>
        <v>41591</v>
      </c>
      <c r="BU3" s="8">
        <f>'Data For Analysis'!BU3</f>
        <v>41592</v>
      </c>
      <c r="BV3" s="8">
        <f>'Data For Analysis'!BV3</f>
        <v>41584</v>
      </c>
      <c r="BW3" s="8">
        <f>'Data For Analysis'!BW3</f>
        <v>41585</v>
      </c>
      <c r="BX3" s="8">
        <f>'Data For Analysis'!BX3</f>
        <v>41585</v>
      </c>
      <c r="BY3" s="8">
        <f>'Data For Analysis'!BY3</f>
        <v>41586</v>
      </c>
      <c r="BZ3" s="8">
        <f>'Data For Analysis'!BZ3</f>
        <v>41590</v>
      </c>
      <c r="CA3" s="8">
        <f>'Data For Analysis'!CA3</f>
        <v>41590</v>
      </c>
      <c r="CB3" s="8">
        <f>'Data For Analysis'!CB3</f>
        <v>41591</v>
      </c>
      <c r="CC3" s="8">
        <f>'Data For Analysis'!CC3</f>
        <v>41591</v>
      </c>
      <c r="CD3" s="8">
        <f>'Data For Analysis'!CD3</f>
        <v>41592</v>
      </c>
      <c r="CE3" s="8">
        <f>'Data For Analysis'!CE3</f>
        <v>41592</v>
      </c>
      <c r="CF3" s="8">
        <f>'Data For Analysis'!CF3</f>
        <v>41592</v>
      </c>
      <c r="CG3" s="8">
        <f>'Data For Analysis'!CG3</f>
        <v>41592</v>
      </c>
      <c r="CH3" s="8">
        <f>'Data For Analysis'!CH3</f>
        <v>41592</v>
      </c>
      <c r="CI3" s="8">
        <f>'Data For Analysis'!CI3</f>
        <v>41593</v>
      </c>
      <c r="CJ3" s="8">
        <f>'Data For Analysis'!CJ3</f>
        <v>41593</v>
      </c>
      <c r="CK3" s="8">
        <f>'Data For Analysis'!CK3</f>
        <v>41593</v>
      </c>
      <c r="CL3" s="8">
        <f>'Data For Analysis'!CL3</f>
        <v>41593</v>
      </c>
      <c r="CM3" s="8">
        <f>'Data For Analysis'!CM3</f>
        <v>41593</v>
      </c>
      <c r="CN3" s="8"/>
      <c r="CO3" s="8"/>
      <c r="CP3" s="8"/>
      <c r="CQ3" s="8"/>
      <c r="CR3" s="8"/>
      <c r="CS3" s="8"/>
      <c r="CT3" s="8"/>
    </row>
    <row r="4" spans="1:98" ht="60" x14ac:dyDescent="0.25">
      <c r="A4" s="345"/>
      <c r="B4" s="1" t="str">
        <f>'Data For Analysis'!B4</f>
        <v>1.c.</v>
      </c>
      <c r="C4" s="6" t="str">
        <f>'Data For Analysis'!C4</f>
        <v>NA</v>
      </c>
      <c r="D4" s="7" t="str">
        <f>'Data For Analysis'!D4</f>
        <v>SENSITIVE - REMOVED</v>
      </c>
      <c r="E4" s="7">
        <f>'Data For Analysis'!E4</f>
        <v>0</v>
      </c>
      <c r="F4" s="7">
        <f>'Data For Analysis'!F4</f>
        <v>0</v>
      </c>
      <c r="G4" s="7">
        <f>'Data For Analysis'!G4</f>
        <v>0</v>
      </c>
      <c r="H4" s="7">
        <f>'Data For Analysis'!H4</f>
        <v>0</v>
      </c>
      <c r="I4" s="7">
        <f>'Data For Analysis'!I4</f>
        <v>0</v>
      </c>
      <c r="J4" s="7">
        <f>'Data For Analysis'!J4</f>
        <v>0</v>
      </c>
      <c r="K4" s="7">
        <f>'Data For Analysis'!K4</f>
        <v>0</v>
      </c>
      <c r="L4" s="7">
        <f>'Data For Analysis'!L4</f>
        <v>0</v>
      </c>
      <c r="M4" s="7">
        <f>'Data For Analysis'!M4</f>
        <v>0</v>
      </c>
      <c r="N4" s="7">
        <f>'Data For Analysis'!N4</f>
        <v>0</v>
      </c>
      <c r="O4" s="7">
        <f>'Data For Analysis'!O4</f>
        <v>0</v>
      </c>
      <c r="P4" s="7">
        <f>'Data For Analysis'!P4</f>
        <v>0</v>
      </c>
      <c r="Q4" s="7">
        <f>'Data For Analysis'!Q4</f>
        <v>0</v>
      </c>
      <c r="R4" s="7">
        <f>'Data For Analysis'!R4</f>
        <v>0</v>
      </c>
      <c r="S4" s="7">
        <f>'Data For Analysis'!S4</f>
        <v>0</v>
      </c>
      <c r="T4" s="7">
        <f>'Data For Analysis'!T4</f>
        <v>0</v>
      </c>
      <c r="U4" s="7">
        <f>'Data For Analysis'!U4</f>
        <v>0</v>
      </c>
      <c r="V4" s="7">
        <f>'Data For Analysis'!V4</f>
        <v>0</v>
      </c>
      <c r="W4" s="7">
        <f>'Data For Analysis'!W4</f>
        <v>0</v>
      </c>
      <c r="X4" s="7">
        <f>'Data For Analysis'!X4</f>
        <v>0</v>
      </c>
      <c r="Y4" s="7">
        <f>'Data For Analysis'!Y4</f>
        <v>0</v>
      </c>
      <c r="Z4" s="7">
        <f>'Data For Analysis'!Z4</f>
        <v>0</v>
      </c>
      <c r="AA4" s="7">
        <f>'Data For Analysis'!AA4</f>
        <v>0</v>
      </c>
      <c r="AB4" s="7">
        <f>'Data For Analysis'!AB4</f>
        <v>0</v>
      </c>
      <c r="AC4" s="7">
        <f>'Data For Analysis'!AC4</f>
        <v>0</v>
      </c>
      <c r="AD4" s="7">
        <f>'Data For Analysis'!AD4</f>
        <v>0</v>
      </c>
      <c r="AE4" s="7">
        <f>'Data For Analysis'!AE4</f>
        <v>0</v>
      </c>
      <c r="AF4" s="7">
        <f>'Data For Analysis'!AF4</f>
        <v>0</v>
      </c>
      <c r="AG4" s="7">
        <f>'Data For Analysis'!AG4</f>
        <v>0</v>
      </c>
      <c r="AH4" s="7">
        <f>'Data For Analysis'!AH4</f>
        <v>0</v>
      </c>
      <c r="AI4" s="7">
        <f>'Data For Analysis'!AI4</f>
        <v>0</v>
      </c>
      <c r="AJ4" s="7">
        <f>'Data For Analysis'!AJ4</f>
        <v>0</v>
      </c>
      <c r="AK4" s="7">
        <f>'Data For Analysis'!AK4</f>
        <v>0</v>
      </c>
      <c r="AL4" s="7">
        <f>'Data For Analysis'!AL4</f>
        <v>0</v>
      </c>
      <c r="AM4" s="7">
        <f>'Data For Analysis'!AM4</f>
        <v>0</v>
      </c>
      <c r="AN4" s="7">
        <f>'Data For Analysis'!AN4</f>
        <v>0</v>
      </c>
      <c r="AO4" s="7">
        <f>'Data For Analysis'!AO4</f>
        <v>0</v>
      </c>
      <c r="AP4" s="7">
        <f>'Data For Analysis'!AP4</f>
        <v>0</v>
      </c>
      <c r="AQ4" s="7">
        <f>'Data For Analysis'!AQ4</f>
        <v>0</v>
      </c>
      <c r="AR4" s="7">
        <f>'Data For Analysis'!AR4</f>
        <v>0</v>
      </c>
      <c r="AS4" s="7">
        <f>'Data For Analysis'!AS4</f>
        <v>0</v>
      </c>
      <c r="AT4" s="7">
        <f>'Data For Analysis'!AT4</f>
        <v>0</v>
      </c>
      <c r="AU4" s="7">
        <f>'Data For Analysis'!AU4</f>
        <v>0</v>
      </c>
      <c r="AV4" s="7">
        <f>'Data For Analysis'!AV4</f>
        <v>0</v>
      </c>
      <c r="AW4" s="7">
        <f>'Data For Analysis'!AW4</f>
        <v>0</v>
      </c>
      <c r="AX4" s="7">
        <f>'Data For Analysis'!AX4</f>
        <v>0</v>
      </c>
      <c r="AY4" s="7">
        <f>'Data For Analysis'!AY4</f>
        <v>0</v>
      </c>
      <c r="AZ4" s="7">
        <f>'Data For Analysis'!AZ4</f>
        <v>0</v>
      </c>
      <c r="BA4" s="7">
        <f>'Data For Analysis'!BA4</f>
        <v>0</v>
      </c>
      <c r="BB4" s="7">
        <f>'Data For Analysis'!BB4</f>
        <v>0</v>
      </c>
      <c r="BC4" s="7">
        <f>'Data For Analysis'!BC4</f>
        <v>0</v>
      </c>
      <c r="BD4" s="7">
        <f>'Data For Analysis'!BD4</f>
        <v>0</v>
      </c>
      <c r="BE4" s="7">
        <f>'Data For Analysis'!BE4</f>
        <v>0</v>
      </c>
      <c r="BF4" s="7">
        <f>'Data For Analysis'!BF4</f>
        <v>0</v>
      </c>
      <c r="BG4" s="7">
        <f>'Data For Analysis'!BG4</f>
        <v>0</v>
      </c>
      <c r="BH4" s="7">
        <f>'Data For Analysis'!BH4</f>
        <v>0</v>
      </c>
      <c r="BI4" s="7">
        <f>'Data For Analysis'!BI4</f>
        <v>0</v>
      </c>
      <c r="BJ4" s="7">
        <f>'Data For Analysis'!BJ4</f>
        <v>0</v>
      </c>
      <c r="BK4" s="7">
        <f>'Data For Analysis'!BK4</f>
        <v>0</v>
      </c>
      <c r="BL4" s="7">
        <f>'Data For Analysis'!BL4</f>
        <v>0</v>
      </c>
      <c r="BM4" s="7">
        <f>'Data For Analysis'!BM4</f>
        <v>0</v>
      </c>
      <c r="BN4" s="7">
        <f>'Data For Analysis'!BN4</f>
        <v>0</v>
      </c>
      <c r="BO4" s="7">
        <f>'Data For Analysis'!BO4</f>
        <v>0</v>
      </c>
      <c r="BP4" s="7">
        <f>'Data For Analysis'!BP4</f>
        <v>0</v>
      </c>
      <c r="BQ4" s="7">
        <f>'Data For Analysis'!BQ4</f>
        <v>0</v>
      </c>
      <c r="BR4" s="7">
        <f>'Data For Analysis'!BR4</f>
        <v>0</v>
      </c>
      <c r="BS4" s="7">
        <f>'Data For Analysis'!BS4</f>
        <v>0</v>
      </c>
      <c r="BT4" s="7">
        <f>'Data For Analysis'!BT4</f>
        <v>0</v>
      </c>
      <c r="BU4" s="7">
        <f>'Data For Analysis'!BU4</f>
        <v>0</v>
      </c>
      <c r="BV4" s="7">
        <f>'Data For Analysis'!BV4</f>
        <v>0</v>
      </c>
      <c r="BW4" s="7">
        <f>'Data For Analysis'!BW4</f>
        <v>0</v>
      </c>
      <c r="BX4" s="7">
        <f>'Data For Analysis'!BX4</f>
        <v>0</v>
      </c>
      <c r="BY4" s="7">
        <f>'Data For Analysis'!BY4</f>
        <v>0</v>
      </c>
      <c r="BZ4" s="7">
        <f>'Data For Analysis'!BZ4</f>
        <v>0</v>
      </c>
      <c r="CA4" s="7">
        <f>'Data For Analysis'!CA4</f>
        <v>0</v>
      </c>
      <c r="CB4" s="7">
        <f>'Data For Analysis'!CB4</f>
        <v>0</v>
      </c>
      <c r="CC4" s="7">
        <f>'Data For Analysis'!CC4</f>
        <v>0</v>
      </c>
      <c r="CD4" s="7">
        <f>'Data For Analysis'!CD4</f>
        <v>0</v>
      </c>
      <c r="CE4" s="7">
        <f>'Data For Analysis'!CE4</f>
        <v>0</v>
      </c>
      <c r="CF4" s="7">
        <f>'Data For Analysis'!CF4</f>
        <v>0</v>
      </c>
      <c r="CG4" s="7">
        <f>'Data For Analysis'!CG4</f>
        <v>0</v>
      </c>
      <c r="CH4" s="7">
        <f>'Data For Analysis'!CH4</f>
        <v>0</v>
      </c>
      <c r="CI4" s="7">
        <f>'Data For Analysis'!CI4</f>
        <v>0</v>
      </c>
      <c r="CJ4" s="7">
        <f>'Data For Analysis'!CJ4</f>
        <v>0</v>
      </c>
      <c r="CK4" s="7">
        <f>'Data For Analysis'!CK4</f>
        <v>0</v>
      </c>
      <c r="CL4" s="7">
        <f>'Data For Analysis'!CL4</f>
        <v>0</v>
      </c>
      <c r="CM4" s="7">
        <f>'Data For Analysis'!CM4</f>
        <v>0</v>
      </c>
      <c r="CN4" s="7"/>
      <c r="CO4" s="7"/>
      <c r="CP4" s="7"/>
      <c r="CQ4" s="7"/>
      <c r="CR4" s="7"/>
      <c r="CS4" s="7"/>
      <c r="CT4" s="7"/>
    </row>
    <row r="5" spans="1:98" x14ac:dyDescent="0.25">
      <c r="A5" s="345"/>
      <c r="B5" s="1" t="str">
        <f>'Data For Analysis'!B5</f>
        <v>1.d.</v>
      </c>
      <c r="C5" s="6" t="str">
        <f>'Data For Analysis'!C5</f>
        <v>NA</v>
      </c>
      <c r="D5" s="16">
        <f>'Data For Analysis'!D5</f>
        <v>0.45833333333333331</v>
      </c>
      <c r="E5" s="16">
        <f>'Data For Analysis'!E5</f>
        <v>0.3125</v>
      </c>
      <c r="F5" s="16">
        <f>'Data For Analysis'!F5</f>
        <v>0.42708333333333331</v>
      </c>
      <c r="G5" s="16">
        <f>'Data For Analysis'!G5</f>
        <v>0.50208333333333333</v>
      </c>
      <c r="H5" s="16">
        <f>'Data For Analysis'!H5</f>
        <v>0.2986111111111111</v>
      </c>
      <c r="I5" s="16">
        <f>'Data For Analysis'!I5</f>
        <v>0.4201388888888889</v>
      </c>
      <c r="J5" s="16">
        <f>'Data For Analysis'!J5</f>
        <v>0.42708333333333331</v>
      </c>
      <c r="K5" s="16">
        <f>'Data For Analysis'!K5</f>
        <v>0.31597222222222221</v>
      </c>
      <c r="L5" s="16">
        <f>'Data For Analysis'!L5</f>
        <v>0.35902777777777778</v>
      </c>
      <c r="M5" s="16">
        <f>'Data For Analysis'!M5</f>
        <v>0.375</v>
      </c>
      <c r="N5" s="16">
        <f>'Data For Analysis'!N5</f>
        <v>0.43055555555555602</v>
      </c>
      <c r="O5" s="16">
        <f>'Data For Analysis'!O5</f>
        <v>0.30555555555555602</v>
      </c>
      <c r="P5" s="16">
        <f>'Data For Analysis'!P5</f>
        <v>0.41666666666666702</v>
      </c>
      <c r="Q5" s="16">
        <f>'Data For Analysis'!Q5</f>
        <v>0.50833333333333297</v>
      </c>
      <c r="R5" s="16">
        <f>'Data For Analysis'!R5</f>
        <v>0.45833333333333298</v>
      </c>
      <c r="S5" s="16">
        <f>'Data For Analysis'!S5</f>
        <v>0.35208333333333303</v>
      </c>
      <c r="T5" s="16">
        <f>'Data For Analysis'!T5</f>
        <v>0.40625</v>
      </c>
      <c r="U5" s="16">
        <f>'Data For Analysis'!U5</f>
        <v>0.44791666666666702</v>
      </c>
      <c r="V5" s="16">
        <f>'Data For Analysis'!V5</f>
        <v>0.46875</v>
      </c>
      <c r="W5" s="16">
        <f>'Data For Analysis'!W5</f>
        <v>0.36666666666666697</v>
      </c>
      <c r="X5" s="16">
        <f>'Data For Analysis'!X5</f>
        <v>0.375</v>
      </c>
      <c r="Y5" s="16">
        <f>'Data For Analysis'!Y5</f>
        <v>0.42361111111111099</v>
      </c>
      <c r="Z5" s="16">
        <f>'Data For Analysis'!Z5</f>
        <v>0.45833333333333298</v>
      </c>
      <c r="AA5" s="16">
        <f>'Data For Analysis'!AA5</f>
        <v>0.36458333333333331</v>
      </c>
      <c r="AB5" s="16">
        <f>'Data For Analysis'!AB5</f>
        <v>0.39583333333333331</v>
      </c>
      <c r="AC5" s="16">
        <f>'Data For Analysis'!AC5</f>
        <v>0.34027777777777773</v>
      </c>
      <c r="AD5" s="16">
        <f>'Data For Analysis'!AD5</f>
        <v>0.45694444444444443</v>
      </c>
      <c r="AE5" s="16">
        <f>'Data For Analysis'!AE5</f>
        <v>0.26041666666666669</v>
      </c>
      <c r="AF5" s="16">
        <f>'Data For Analysis'!AF5</f>
        <v>0.32291666666666669</v>
      </c>
      <c r="AG5" s="16">
        <f>'Data For Analysis'!AG5</f>
        <v>0.33263888888888887</v>
      </c>
      <c r="AH5" s="16">
        <f>'Data For Analysis'!AH5</f>
        <v>0.35416666666666669</v>
      </c>
      <c r="AI5" s="16">
        <f>'Data For Analysis'!AI5</f>
        <v>0.38541666666666669</v>
      </c>
      <c r="AJ5" s="16">
        <f>'Data For Analysis'!AJ5</f>
        <v>0.4201388888888889</v>
      </c>
      <c r="AK5" s="16">
        <f>'Data For Analysis'!AK5</f>
        <v>0.4375</v>
      </c>
      <c r="AL5" s="16">
        <f>'Data For Analysis'!AL5</f>
        <v>0.51041666666666663</v>
      </c>
      <c r="AM5" s="16">
        <f>'Data For Analysis'!AM5</f>
        <v>0.375</v>
      </c>
      <c r="AN5" s="16">
        <f>'Data For Analysis'!AN5</f>
        <v>0.41666666666666669</v>
      </c>
      <c r="AO5" s="16">
        <f>'Data For Analysis'!AO5</f>
        <v>0.50347222222222221</v>
      </c>
      <c r="AP5" s="16">
        <f>'Data For Analysis'!AP5</f>
        <v>0.3611111111111111</v>
      </c>
      <c r="AQ5" s="16">
        <f>'Data For Analysis'!AQ5</f>
        <v>0.32500000000000001</v>
      </c>
      <c r="AR5" s="16">
        <f>'Data For Analysis'!AR5</f>
        <v>0.33333333333333331</v>
      </c>
      <c r="AS5" s="16">
        <f>'Data For Analysis'!AS5</f>
        <v>0.34375</v>
      </c>
      <c r="AT5" s="16">
        <f>'Data For Analysis'!AT5</f>
        <v>0.4513888888888889</v>
      </c>
      <c r="AU5" s="16">
        <f>'Data For Analysis'!AU5</f>
        <v>0.45833333333333331</v>
      </c>
      <c r="AV5" s="16">
        <f>'Data For Analysis'!AV5</f>
        <v>0.46875</v>
      </c>
      <c r="AW5" s="16">
        <f>'Data For Analysis'!AW5</f>
        <v>0.54166666666666663</v>
      </c>
      <c r="AX5" s="16">
        <f>'Data For Analysis'!AX5</f>
        <v>0.34722222222222227</v>
      </c>
      <c r="AY5" s="16">
        <f>'Data For Analysis'!AY5</f>
        <v>0.39583333333333331</v>
      </c>
      <c r="AZ5" s="16">
        <f>'Data For Analysis'!AZ5</f>
        <v>0.57638888888888895</v>
      </c>
      <c r="BA5" s="16">
        <f>'Data For Analysis'!BA5</f>
        <v>0.4236111111111111</v>
      </c>
      <c r="BB5" s="16">
        <f>'Data For Analysis'!BB5</f>
        <v>0.38750000000000001</v>
      </c>
      <c r="BC5" s="16">
        <f>'Data For Analysis'!BC5</f>
        <v>0</v>
      </c>
      <c r="BD5" s="16">
        <f>'Data For Analysis'!BD5</f>
        <v>0.40972222222222227</v>
      </c>
      <c r="BE5" s="16">
        <f>'Data For Analysis'!BE5</f>
        <v>0.4548611111111111</v>
      </c>
      <c r="BF5" s="16">
        <f>'Data For Analysis'!BF5</f>
        <v>0.43124999999999997</v>
      </c>
      <c r="BG5" s="16">
        <f>'Data For Analysis'!BG5</f>
        <v>0.3444444444444445</v>
      </c>
      <c r="BH5" s="16">
        <f>'Data For Analysis'!BH5</f>
        <v>0.39930555555555558</v>
      </c>
      <c r="BI5" s="16">
        <f>'Data For Analysis'!BI5</f>
        <v>0.41041666666666665</v>
      </c>
      <c r="BJ5" s="16">
        <f>'Data For Analysis'!BJ5</f>
        <v>0.41666666666666669</v>
      </c>
      <c r="BK5" s="16">
        <f>'Data For Analysis'!BK5</f>
        <v>0.54583333333333328</v>
      </c>
      <c r="BL5" s="16">
        <f>'Data For Analysis'!BL5</f>
        <v>0.29166666666666669</v>
      </c>
      <c r="BM5" s="16">
        <f>'Data For Analysis'!BM5</f>
        <v>0.34861111111111115</v>
      </c>
      <c r="BN5" s="16">
        <f>'Data For Analysis'!BN5</f>
        <v>0.39583333333333331</v>
      </c>
      <c r="BO5" s="16">
        <f>'Data For Analysis'!BO5</f>
        <v>0.40625</v>
      </c>
      <c r="BP5" s="16">
        <f>'Data For Analysis'!BP5</f>
        <v>0.41666666666666669</v>
      </c>
      <c r="BQ5" s="16">
        <f>'Data For Analysis'!BQ5</f>
        <v>0.41666666666666669</v>
      </c>
      <c r="BR5" s="16">
        <f>'Data For Analysis'!BR5</f>
        <v>0.43402777777777773</v>
      </c>
      <c r="BS5" s="16">
        <f>'Data For Analysis'!BS5</f>
        <v>0.4513888888888889</v>
      </c>
      <c r="BT5" s="16">
        <f>'Data For Analysis'!BT5</f>
        <v>0.37291666666666662</v>
      </c>
      <c r="BU5" s="16">
        <f>'Data For Analysis'!BU5</f>
        <v>0.32500000000000001</v>
      </c>
      <c r="BV5" s="16">
        <f>'Data For Analysis'!BV5</f>
        <v>0.39583333333333331</v>
      </c>
      <c r="BW5" s="16">
        <f>'Data For Analysis'!BW5</f>
        <v>0.4770833333333333</v>
      </c>
      <c r="BX5" s="16">
        <f>'Data For Analysis'!BX5</f>
        <v>0.5625</v>
      </c>
      <c r="BY5" s="16">
        <f>'Data For Analysis'!BY5</f>
        <v>0.46875</v>
      </c>
      <c r="BZ5" s="16">
        <f>'Data For Analysis'!BZ5</f>
        <v>0.27083333333333331</v>
      </c>
      <c r="CA5" s="16">
        <f>'Data For Analysis'!CA5</f>
        <v>0.54166666666666663</v>
      </c>
      <c r="CB5" s="16">
        <f>'Data For Analysis'!CB5</f>
        <v>0.35416666666666669</v>
      </c>
      <c r="CC5" s="16">
        <f>'Data For Analysis'!CC5</f>
        <v>0.48958333333333331</v>
      </c>
      <c r="CD5" s="16">
        <f>'Data For Analysis'!CD5</f>
        <v>0</v>
      </c>
      <c r="CE5" s="16">
        <f>'Data For Analysis'!CE5</f>
        <v>0.44722222222222219</v>
      </c>
      <c r="CF5" s="16">
        <f>'Data For Analysis'!CF5</f>
        <v>0.46180555555555558</v>
      </c>
      <c r="CG5" s="16">
        <f>'Data For Analysis'!CG5</f>
        <v>0.51041666666666663</v>
      </c>
      <c r="CH5" s="16">
        <f>'Data For Analysis'!CH5</f>
        <v>0.56666666666666665</v>
      </c>
      <c r="CI5" s="16">
        <f>'Data For Analysis'!CI5</f>
        <v>0.29166666666666669</v>
      </c>
      <c r="CJ5" s="16">
        <f>'Data For Analysis'!CJ5</f>
        <v>0.30208333333333331</v>
      </c>
      <c r="CK5" s="16">
        <f>'Data For Analysis'!CK5</f>
        <v>0.34722222222222227</v>
      </c>
      <c r="CL5" s="16">
        <f>'Data For Analysis'!CL5</f>
        <v>0.375</v>
      </c>
      <c r="CM5" s="16">
        <f>'Data For Analysis'!CM5</f>
        <v>0.48958333333333331</v>
      </c>
      <c r="CN5" s="16"/>
      <c r="CO5" s="16"/>
      <c r="CP5" s="7"/>
      <c r="CQ5" s="7"/>
      <c r="CR5" s="7"/>
      <c r="CS5" s="7"/>
      <c r="CT5" s="7"/>
    </row>
    <row r="6" spans="1:98" x14ac:dyDescent="0.25">
      <c r="A6" s="345"/>
      <c r="B6" s="1" t="str">
        <f>'Data For Analysis'!B6</f>
        <v>1.e.</v>
      </c>
      <c r="C6" s="6" t="str">
        <f>'Data For Analysis'!C6</f>
        <v>NA</v>
      </c>
      <c r="D6" s="7" t="str">
        <f>'Data For Analysis'!D6</f>
        <v>N60</v>
      </c>
      <c r="E6" s="7" t="str">
        <f>'Data For Analysis'!E6</f>
        <v>N60</v>
      </c>
      <c r="F6" s="7" t="str">
        <f>'Data For Analysis'!F6</f>
        <v>N60</v>
      </c>
      <c r="G6" s="7" t="str">
        <f>'Data For Analysis'!G6</f>
        <v>N60</v>
      </c>
      <c r="H6" s="7" t="str">
        <f>'Data For Analysis'!H6</f>
        <v>N60</v>
      </c>
      <c r="I6" s="7" t="str">
        <f>'Data For Analysis'!I6</f>
        <v>N60</v>
      </c>
      <c r="J6" s="7" t="str">
        <f>'Data For Analysis'!J6</f>
        <v>N60</v>
      </c>
      <c r="K6" s="7" t="str">
        <f>'Data For Analysis'!K6</f>
        <v>N60</v>
      </c>
      <c r="L6" s="7" t="str">
        <f>'Data For Analysis'!L6</f>
        <v>N60</v>
      </c>
      <c r="M6" s="7" t="str">
        <f>'Data For Analysis'!M6</f>
        <v>N60</v>
      </c>
      <c r="N6" s="7" t="str">
        <f>'Data For Analysis'!N6</f>
        <v>N60</v>
      </c>
      <c r="O6" s="7" t="str">
        <f>'Data For Analysis'!O6</f>
        <v>2lb Grab</v>
      </c>
      <c r="P6" s="7" t="str">
        <f>'Data For Analysis'!P6</f>
        <v>N60</v>
      </c>
      <c r="Q6" s="7" t="str">
        <f>'Data For Analysis'!Q6</f>
        <v>N60</v>
      </c>
      <c r="R6" s="7" t="str">
        <f>'Data For Analysis'!R6</f>
        <v>N60</v>
      </c>
      <c r="S6" s="7" t="str">
        <f>'Data For Analysis'!S6</f>
        <v>N60</v>
      </c>
      <c r="T6" s="7" t="str">
        <f>'Data For Analysis'!T6</f>
        <v>2lb Grab</v>
      </c>
      <c r="U6" s="7" t="str">
        <f>'Data For Analysis'!U6</f>
        <v>N60</v>
      </c>
      <c r="V6" s="7" t="str">
        <f>'Data For Analysis'!V6</f>
        <v>N60</v>
      </c>
      <c r="W6" s="7" t="str">
        <f>'Data For Analysis'!W6</f>
        <v>N60</v>
      </c>
      <c r="X6" s="7" t="str">
        <f>'Data For Analysis'!X6</f>
        <v>N60</v>
      </c>
      <c r="Y6" s="7" t="str">
        <f>'Data For Analysis'!Y6</f>
        <v>N60</v>
      </c>
      <c r="Z6" s="7" t="str">
        <f>'Data For Analysis'!Z6</f>
        <v>N60</v>
      </c>
      <c r="AA6" s="7" t="str">
        <f>'Data For Analysis'!AA6</f>
        <v>2lb Grab</v>
      </c>
      <c r="AB6" s="7" t="str">
        <f>'Data For Analysis'!AB6</f>
        <v>N60</v>
      </c>
      <c r="AC6" s="7" t="str">
        <f>'Data For Analysis'!AC6</f>
        <v>N60</v>
      </c>
      <c r="AD6" s="7" t="str">
        <f>'Data For Analysis'!AD6</f>
        <v>N60</v>
      </c>
      <c r="AE6" s="7" t="str">
        <f>'Data For Analysis'!AE6</f>
        <v>N60</v>
      </c>
      <c r="AF6" s="7" t="str">
        <f>'Data For Analysis'!AF6</f>
        <v>N60</v>
      </c>
      <c r="AG6" s="7" t="str">
        <f>'Data For Analysis'!AG6</f>
        <v>N60</v>
      </c>
      <c r="AH6" s="7" t="str">
        <f>'Data For Analysis'!AH6</f>
        <v>2lb Grab</v>
      </c>
      <c r="AI6" s="7" t="str">
        <f>'Data For Analysis'!AI6</f>
        <v>N60</v>
      </c>
      <c r="AJ6" s="7" t="str">
        <f>'Data For Analysis'!AJ6</f>
        <v>N60</v>
      </c>
      <c r="AK6" s="7" t="str">
        <f>'Data For Analysis'!AK6</f>
        <v>N60</v>
      </c>
      <c r="AL6" s="7" t="str">
        <f>'Data For Analysis'!AL6</f>
        <v>N60</v>
      </c>
      <c r="AM6" s="7" t="str">
        <f>'Data For Analysis'!AM6</f>
        <v>N60</v>
      </c>
      <c r="AN6" s="7" t="str">
        <f>'Data For Analysis'!AN6</f>
        <v>N60</v>
      </c>
      <c r="AO6" s="7" t="str">
        <f>'Data For Analysis'!AO6</f>
        <v>N60</v>
      </c>
      <c r="AP6" s="7" t="str">
        <f>'Data For Analysis'!AP6</f>
        <v>N60</v>
      </c>
      <c r="AQ6" s="7" t="str">
        <f>'Data For Analysis'!AQ6</f>
        <v>N60</v>
      </c>
      <c r="AR6" s="7" t="str">
        <f>'Data For Analysis'!AR6</f>
        <v>N60</v>
      </c>
      <c r="AS6" s="7" t="str">
        <f>'Data For Analysis'!AS6</f>
        <v>N60</v>
      </c>
      <c r="AT6" s="7" t="str">
        <f>'Data For Analysis'!AT6</f>
        <v>N60</v>
      </c>
      <c r="AU6" s="7" t="str">
        <f>'Data For Analysis'!AU6</f>
        <v>N60</v>
      </c>
      <c r="AV6" s="7" t="str">
        <f>'Data For Analysis'!AV6</f>
        <v>N60</v>
      </c>
      <c r="AW6" s="7" t="str">
        <f>'Data For Analysis'!AW6</f>
        <v>N60</v>
      </c>
      <c r="AX6" s="7" t="str">
        <f>'Data For Analysis'!AX6</f>
        <v>N60</v>
      </c>
      <c r="AY6" s="7" t="str">
        <f>'Data For Analysis'!AY6</f>
        <v>N60</v>
      </c>
      <c r="AZ6" s="7" t="str">
        <f>'Data For Analysis'!AZ6</f>
        <v>N60</v>
      </c>
      <c r="BA6" s="7" t="str">
        <f>'Data For Analysis'!BA6</f>
        <v>N60</v>
      </c>
      <c r="BB6" s="7" t="str">
        <f>'Data For Analysis'!BB6</f>
        <v>N60</v>
      </c>
      <c r="BC6" s="7" t="str">
        <f>'Data For Analysis'!BC6</f>
        <v>N60</v>
      </c>
      <c r="BD6" s="7" t="str">
        <f>'Data For Analysis'!BD6</f>
        <v>N60</v>
      </c>
      <c r="BE6" s="7" t="str">
        <f>'Data For Analysis'!BE6</f>
        <v>N60</v>
      </c>
      <c r="BF6" s="7" t="str">
        <f>'Data For Analysis'!BF6</f>
        <v>N60</v>
      </c>
      <c r="BG6" s="7" t="str">
        <f>'Data For Analysis'!BG6</f>
        <v>N60</v>
      </c>
      <c r="BH6" s="7" t="str">
        <f>'Data For Analysis'!BH6</f>
        <v>N60</v>
      </c>
      <c r="BI6" s="7" t="str">
        <f>'Data For Analysis'!BI6</f>
        <v>N60</v>
      </c>
      <c r="BJ6" s="7" t="str">
        <f>'Data For Analysis'!BJ6</f>
        <v>N60</v>
      </c>
      <c r="BK6" s="7" t="str">
        <f>'Data For Analysis'!BK6</f>
        <v>2lb Grab</v>
      </c>
      <c r="BL6" s="7" t="str">
        <f>'Data For Analysis'!BL6</f>
        <v>N60</v>
      </c>
      <c r="BM6" s="7" t="str">
        <f>'Data For Analysis'!BM6</f>
        <v>N60</v>
      </c>
      <c r="BN6" s="7" t="str">
        <f>'Data For Analysis'!BN6</f>
        <v>N60</v>
      </c>
      <c r="BO6" s="7" t="str">
        <f>'Data For Analysis'!BO6</f>
        <v>N60</v>
      </c>
      <c r="BP6" s="7" t="str">
        <f>'Data For Analysis'!BP6</f>
        <v>N60</v>
      </c>
      <c r="BQ6" s="7" t="str">
        <f>'Data For Analysis'!BQ6</f>
        <v>N60</v>
      </c>
      <c r="BR6" s="7" t="str">
        <f>'Data For Analysis'!BR6</f>
        <v>N60</v>
      </c>
      <c r="BS6" s="7" t="str">
        <f>'Data For Analysis'!BS6</f>
        <v>N60</v>
      </c>
      <c r="BT6" s="7" t="str">
        <f>'Data For Analysis'!BT6</f>
        <v>N60</v>
      </c>
      <c r="BU6" s="7" t="str">
        <f>'Data For Analysis'!BU6</f>
        <v>N60</v>
      </c>
      <c r="BV6" s="7" t="str">
        <f>'Data For Analysis'!BV6</f>
        <v>N60</v>
      </c>
      <c r="BW6" s="7" t="str">
        <f>'Data For Analysis'!BW6</f>
        <v>N60</v>
      </c>
      <c r="BX6" s="7" t="str">
        <f>'Data For Analysis'!BX6</f>
        <v>2lb Grab</v>
      </c>
      <c r="BY6" s="7" t="str">
        <f>'Data For Analysis'!BY6</f>
        <v>2lb Grab</v>
      </c>
      <c r="BZ6" s="7" t="str">
        <f>'Data For Analysis'!BZ6</f>
        <v>N60</v>
      </c>
      <c r="CA6" s="7" t="str">
        <f>'Data For Analysis'!CA6</f>
        <v>2lb Grab</v>
      </c>
      <c r="CB6" s="7" t="str">
        <f>'Data For Analysis'!CB6</f>
        <v>N60</v>
      </c>
      <c r="CC6" s="7" t="str">
        <f>'Data For Analysis'!CC6</f>
        <v>N60</v>
      </c>
      <c r="CD6" s="7" t="str">
        <f>'Data For Analysis'!CD6</f>
        <v>N60</v>
      </c>
      <c r="CE6" s="7" t="str">
        <f>'Data For Analysis'!CE6</f>
        <v>N60</v>
      </c>
      <c r="CF6" s="7" t="str">
        <f>'Data For Analysis'!CF6</f>
        <v>2lb Grab</v>
      </c>
      <c r="CG6" s="7" t="str">
        <f>'Data For Analysis'!CG6</f>
        <v>N60</v>
      </c>
      <c r="CH6" s="7" t="str">
        <f>'Data For Analysis'!CH6</f>
        <v>N60</v>
      </c>
      <c r="CI6" s="7" t="str">
        <f>'Data For Analysis'!CI6</f>
        <v>N60</v>
      </c>
      <c r="CJ6" s="7" t="str">
        <f>'Data For Analysis'!CJ6</f>
        <v>N60</v>
      </c>
      <c r="CK6" s="7" t="str">
        <f>'Data For Analysis'!CK6</f>
        <v>N60</v>
      </c>
      <c r="CL6" s="7" t="str">
        <f>'Data For Analysis'!CL6</f>
        <v>N60</v>
      </c>
      <c r="CM6" s="7" t="str">
        <f>'Data For Analysis'!CM6</f>
        <v>N60</v>
      </c>
      <c r="CN6" s="7"/>
      <c r="CO6" s="7"/>
      <c r="CP6" s="7"/>
      <c r="CQ6" s="7"/>
      <c r="CR6" s="7"/>
      <c r="CS6" s="7"/>
      <c r="CT6" s="7"/>
    </row>
    <row r="7" spans="1:98" x14ac:dyDescent="0.25">
      <c r="A7" s="345"/>
      <c r="B7" s="1" t="str">
        <f>'Data For Analysis'!B7</f>
        <v>1.f.</v>
      </c>
      <c r="C7" s="6" t="str">
        <f>'Data For Analysis'!C7</f>
        <v>NA</v>
      </c>
      <c r="D7" s="7" t="str">
        <f>'Data For Analysis'!D7</f>
        <v>SENSITIVE - REMOVED</v>
      </c>
      <c r="E7" s="7">
        <f>'Data For Analysis'!E7</f>
        <v>0</v>
      </c>
      <c r="F7" s="7">
        <f>'Data For Analysis'!F7</f>
        <v>0</v>
      </c>
      <c r="G7" s="7">
        <f>'Data For Analysis'!G7</f>
        <v>0</v>
      </c>
      <c r="H7" s="7">
        <f>'Data For Analysis'!H7</f>
        <v>0</v>
      </c>
      <c r="I7" s="7">
        <f>'Data For Analysis'!I7</f>
        <v>0</v>
      </c>
      <c r="J7" s="7">
        <f>'Data For Analysis'!J7</f>
        <v>0</v>
      </c>
      <c r="K7" s="7">
        <f>'Data For Analysis'!K7</f>
        <v>0</v>
      </c>
      <c r="L7" s="7">
        <f>'Data For Analysis'!L7</f>
        <v>0</v>
      </c>
      <c r="M7" s="7">
        <f>'Data For Analysis'!M7</f>
        <v>0</v>
      </c>
      <c r="N7" s="7">
        <f>'Data For Analysis'!N7</f>
        <v>0</v>
      </c>
      <c r="O7" s="7">
        <f>'Data For Analysis'!O7</f>
        <v>0</v>
      </c>
      <c r="P7" s="7">
        <f>'Data For Analysis'!P7</f>
        <v>0</v>
      </c>
      <c r="Q7" s="7">
        <f>'Data For Analysis'!Q7</f>
        <v>0</v>
      </c>
      <c r="R7" s="7">
        <f>'Data For Analysis'!R7</f>
        <v>0</v>
      </c>
      <c r="S7" s="7">
        <f>'Data For Analysis'!S7</f>
        <v>0</v>
      </c>
      <c r="T7" s="7">
        <f>'Data For Analysis'!T7</f>
        <v>0</v>
      </c>
      <c r="U7" s="7">
        <f>'Data For Analysis'!U7</f>
        <v>0</v>
      </c>
      <c r="V7" s="7">
        <f>'Data For Analysis'!V7</f>
        <v>0</v>
      </c>
      <c r="W7" s="7">
        <f>'Data For Analysis'!W7</f>
        <v>0</v>
      </c>
      <c r="X7" s="7">
        <f>'Data For Analysis'!X7</f>
        <v>0</v>
      </c>
      <c r="Y7" s="7">
        <f>'Data For Analysis'!Y7</f>
        <v>0</v>
      </c>
      <c r="Z7" s="7">
        <f>'Data For Analysis'!Z7</f>
        <v>0</v>
      </c>
      <c r="AA7" s="7">
        <f>'Data For Analysis'!AA7</f>
        <v>0</v>
      </c>
      <c r="AB7" s="7">
        <f>'Data For Analysis'!AB7</f>
        <v>0</v>
      </c>
      <c r="AC7" s="7">
        <f>'Data For Analysis'!AC7</f>
        <v>0</v>
      </c>
      <c r="AD7" s="7">
        <f>'Data For Analysis'!AD7</f>
        <v>0</v>
      </c>
      <c r="AE7" s="7">
        <f>'Data For Analysis'!AE7</f>
        <v>0</v>
      </c>
      <c r="AF7" s="7">
        <f>'Data For Analysis'!AF7</f>
        <v>0</v>
      </c>
      <c r="AG7" s="7">
        <f>'Data For Analysis'!AG7</f>
        <v>0</v>
      </c>
      <c r="AH7" s="7">
        <f>'Data For Analysis'!AH7</f>
        <v>0</v>
      </c>
      <c r="AI7" s="7">
        <f>'Data For Analysis'!AI7</f>
        <v>0</v>
      </c>
      <c r="AJ7" s="7">
        <f>'Data For Analysis'!AJ7</f>
        <v>0</v>
      </c>
      <c r="AK7" s="7">
        <f>'Data For Analysis'!AK7</f>
        <v>0</v>
      </c>
      <c r="AL7" s="7">
        <f>'Data For Analysis'!AL7</f>
        <v>0</v>
      </c>
      <c r="AM7" s="7">
        <f>'Data For Analysis'!AM7</f>
        <v>0</v>
      </c>
      <c r="AN7" s="7">
        <f>'Data For Analysis'!AN7</f>
        <v>0</v>
      </c>
      <c r="AO7" s="7">
        <f>'Data For Analysis'!AO7</f>
        <v>0</v>
      </c>
      <c r="AP7" s="7">
        <f>'Data For Analysis'!AP7</f>
        <v>0</v>
      </c>
      <c r="AQ7" s="7">
        <f>'Data For Analysis'!AQ7</f>
        <v>0</v>
      </c>
      <c r="AR7" s="7">
        <f>'Data For Analysis'!AR7</f>
        <v>0</v>
      </c>
      <c r="AS7" s="7">
        <f>'Data For Analysis'!AS7</f>
        <v>0</v>
      </c>
      <c r="AT7" s="7">
        <f>'Data For Analysis'!AT7</f>
        <v>0</v>
      </c>
      <c r="AU7" s="7">
        <f>'Data For Analysis'!AU7</f>
        <v>0</v>
      </c>
      <c r="AV7" s="7">
        <f>'Data For Analysis'!AV7</f>
        <v>0</v>
      </c>
      <c r="AW7" s="7">
        <f>'Data For Analysis'!AW7</f>
        <v>0</v>
      </c>
      <c r="AX7" s="7">
        <f>'Data For Analysis'!AX7</f>
        <v>0</v>
      </c>
      <c r="AY7" s="7">
        <f>'Data For Analysis'!AY7</f>
        <v>0</v>
      </c>
      <c r="AZ7" s="7">
        <f>'Data For Analysis'!AZ7</f>
        <v>0</v>
      </c>
      <c r="BA7" s="7">
        <f>'Data For Analysis'!BA7</f>
        <v>0</v>
      </c>
      <c r="BB7" s="7">
        <f>'Data For Analysis'!BB7</f>
        <v>0</v>
      </c>
      <c r="BC7" s="7">
        <f>'Data For Analysis'!BC7</f>
        <v>0</v>
      </c>
      <c r="BD7" s="7">
        <f>'Data For Analysis'!BD7</f>
        <v>0</v>
      </c>
      <c r="BE7" s="7">
        <f>'Data For Analysis'!BE7</f>
        <v>0</v>
      </c>
      <c r="BF7" s="7">
        <f>'Data For Analysis'!BF7</f>
        <v>0</v>
      </c>
      <c r="BG7" s="7">
        <f>'Data For Analysis'!BG7</f>
        <v>0</v>
      </c>
      <c r="BH7" s="7">
        <f>'Data For Analysis'!BH7</f>
        <v>0</v>
      </c>
      <c r="BI7" s="7">
        <f>'Data For Analysis'!BI7</f>
        <v>0</v>
      </c>
      <c r="BJ7" s="7">
        <f>'Data For Analysis'!BJ7</f>
        <v>0</v>
      </c>
      <c r="BK7" s="7">
        <f>'Data For Analysis'!BK7</f>
        <v>0</v>
      </c>
      <c r="BL7" s="7">
        <f>'Data For Analysis'!BL7</f>
        <v>0</v>
      </c>
      <c r="BM7" s="7">
        <f>'Data For Analysis'!BM7</f>
        <v>0</v>
      </c>
      <c r="BN7" s="7">
        <f>'Data For Analysis'!BN7</f>
        <v>0</v>
      </c>
      <c r="BO7" s="7">
        <f>'Data For Analysis'!BO7</f>
        <v>0</v>
      </c>
      <c r="BP7" s="7">
        <f>'Data For Analysis'!BP7</f>
        <v>0</v>
      </c>
      <c r="BQ7" s="7">
        <f>'Data For Analysis'!BQ7</f>
        <v>0</v>
      </c>
      <c r="BR7" s="7">
        <f>'Data For Analysis'!BR7</f>
        <v>0</v>
      </c>
      <c r="BS7" s="7">
        <f>'Data For Analysis'!BS7</f>
        <v>0</v>
      </c>
      <c r="BT7" s="7">
        <f>'Data For Analysis'!BT7</f>
        <v>0</v>
      </c>
      <c r="BU7" s="7">
        <f>'Data For Analysis'!BU7</f>
        <v>0</v>
      </c>
      <c r="BV7" s="7">
        <f>'Data For Analysis'!BV7</f>
        <v>0</v>
      </c>
      <c r="BW7" s="7">
        <f>'Data For Analysis'!BW7</f>
        <v>0</v>
      </c>
      <c r="BX7" s="7">
        <f>'Data For Analysis'!BX7</f>
        <v>0</v>
      </c>
      <c r="BY7" s="7">
        <f>'Data For Analysis'!BY7</f>
        <v>0</v>
      </c>
      <c r="BZ7" s="7">
        <f>'Data For Analysis'!BZ7</f>
        <v>0</v>
      </c>
      <c r="CA7" s="7">
        <f>'Data For Analysis'!CA7</f>
        <v>0</v>
      </c>
      <c r="CB7" s="7">
        <f>'Data For Analysis'!CB7</f>
        <v>0</v>
      </c>
      <c r="CC7" s="7">
        <f>'Data For Analysis'!CC7</f>
        <v>0</v>
      </c>
      <c r="CD7" s="7">
        <f>'Data For Analysis'!CD7</f>
        <v>0</v>
      </c>
      <c r="CE7" s="7">
        <f>'Data For Analysis'!CE7</f>
        <v>0</v>
      </c>
      <c r="CF7" s="7">
        <f>'Data For Analysis'!CF7</f>
        <v>0</v>
      </c>
      <c r="CG7" s="7">
        <f>'Data For Analysis'!CG7</f>
        <v>0</v>
      </c>
      <c r="CH7" s="7">
        <f>'Data For Analysis'!CH7</f>
        <v>0</v>
      </c>
      <c r="CI7" s="7">
        <f>'Data For Analysis'!CI7</f>
        <v>0</v>
      </c>
      <c r="CJ7" s="7">
        <f>'Data For Analysis'!CJ7</f>
        <v>0</v>
      </c>
      <c r="CK7" s="7">
        <f>'Data For Analysis'!CK7</f>
        <v>0</v>
      </c>
      <c r="CL7" s="7">
        <f>'Data For Analysis'!CL7</f>
        <v>0</v>
      </c>
      <c r="CM7" s="7">
        <f>'Data For Analysis'!CM7</f>
        <v>0</v>
      </c>
      <c r="CN7" s="7"/>
      <c r="CO7" s="7"/>
      <c r="CP7" s="7"/>
      <c r="CQ7" s="7"/>
      <c r="CR7" s="7"/>
      <c r="CS7" s="7"/>
      <c r="CT7" s="7"/>
    </row>
    <row r="8" spans="1:98" x14ac:dyDescent="0.25">
      <c r="A8" s="345"/>
      <c r="B8" s="1" t="str">
        <f>'Data For Analysis'!B8</f>
        <v>1.g.</v>
      </c>
      <c r="C8" s="6" t="str">
        <f>'Data For Analysis'!C8</f>
        <v>NA</v>
      </c>
      <c r="D8" s="7" t="str">
        <f>'Data For Analysis'!D8</f>
        <v>DSL</v>
      </c>
      <c r="E8" s="7" t="str">
        <f>'Data For Analysis'!E8</f>
        <v>DSL</v>
      </c>
      <c r="F8" s="7" t="str">
        <f>'Data For Analysis'!F8</f>
        <v>DSL</v>
      </c>
      <c r="G8" s="7" t="str">
        <f>'Data For Analysis'!G8</f>
        <v>DSL</v>
      </c>
      <c r="H8" s="7" t="str">
        <f>'Data For Analysis'!H8</f>
        <v>DSL</v>
      </c>
      <c r="I8" s="7" t="str">
        <f>'Data For Analysis'!I8</f>
        <v>T1</v>
      </c>
      <c r="J8" s="7" t="str">
        <f>'Data For Analysis'!J8</f>
        <v>EVDO</v>
      </c>
      <c r="K8" s="7" t="str">
        <f>'Data For Analysis'!K8</f>
        <v>EVDO</v>
      </c>
      <c r="L8" s="7" t="str">
        <f>'Data For Analysis'!L8</f>
        <v>WiFi</v>
      </c>
      <c r="M8" s="7" t="str">
        <f>'Data For Analysis'!M8</f>
        <v>DSL</v>
      </c>
      <c r="N8" s="7" t="str">
        <f>'Data For Analysis'!N8</f>
        <v>DSL</v>
      </c>
      <c r="O8" s="7" t="str">
        <f>'Data For Analysis'!O8</f>
        <v>DSL</v>
      </c>
      <c r="P8" s="7" t="str">
        <f>'Data For Analysis'!P8</f>
        <v>DSL</v>
      </c>
      <c r="Q8" s="7" t="str">
        <f>'Data For Analysis'!Q8</f>
        <v>DSL</v>
      </c>
      <c r="R8" s="7" t="str">
        <f>'Data For Analysis'!R8</f>
        <v>EVDO</v>
      </c>
      <c r="S8" s="7" t="str">
        <f>'Data For Analysis'!S8</f>
        <v>DSL</v>
      </c>
      <c r="T8" s="7">
        <f>'Data For Analysis'!T8</f>
        <v>0</v>
      </c>
      <c r="U8" s="7" t="str">
        <f>'Data For Analysis'!U8</f>
        <v>DSL</v>
      </c>
      <c r="V8" s="7" t="str">
        <f>'Data For Analysis'!V8</f>
        <v>EVDO</v>
      </c>
      <c r="W8" s="7" t="str">
        <f>'Data For Analysis'!W8</f>
        <v>DSL</v>
      </c>
      <c r="X8" s="7" t="str">
        <f>'Data For Analysis'!X8</f>
        <v>T1</v>
      </c>
      <c r="Y8" s="7" t="str">
        <f>'Data For Analysis'!Y8</f>
        <v>DSL</v>
      </c>
      <c r="Z8" s="7" t="str">
        <f>'Data For Analysis'!Z8</f>
        <v>T1</v>
      </c>
      <c r="AA8" s="7" t="str">
        <f>'Data For Analysis'!AA8</f>
        <v>DSL</v>
      </c>
      <c r="AB8" s="7" t="str">
        <f>'Data For Analysis'!AB8</f>
        <v>DSL</v>
      </c>
      <c r="AC8" s="7" t="str">
        <f>'Data For Analysis'!AC8</f>
        <v>EVDO</v>
      </c>
      <c r="AD8" s="7" t="str">
        <f>'Data For Analysis'!AD8</f>
        <v>DSL</v>
      </c>
      <c r="AE8" s="7" t="str">
        <f>'Data For Analysis'!AE8</f>
        <v>DSL</v>
      </c>
      <c r="AF8" s="7" t="str">
        <f>'Data For Analysis'!AF8</f>
        <v>DSL</v>
      </c>
      <c r="AG8" s="7" t="str">
        <f>'Data For Analysis'!AG8</f>
        <v>DSL</v>
      </c>
      <c r="AH8" s="7" t="str">
        <f>'Data For Analysis'!AH8</f>
        <v>DSL</v>
      </c>
      <c r="AI8" s="7" t="str">
        <f>'Data For Analysis'!AI8</f>
        <v>DSL</v>
      </c>
      <c r="AJ8" s="7" t="str">
        <f>'Data For Analysis'!AJ8</f>
        <v>DSL</v>
      </c>
      <c r="AK8" s="7">
        <f>'Data For Analysis'!AK8</f>
        <v>0</v>
      </c>
      <c r="AL8" s="7" t="str">
        <f>'Data For Analysis'!AL8</f>
        <v>T1</v>
      </c>
      <c r="AM8" s="7" t="str">
        <f>'Data For Analysis'!AM8</f>
        <v>DSL</v>
      </c>
      <c r="AN8" s="7" t="str">
        <f>'Data For Analysis'!AN8</f>
        <v>DSL</v>
      </c>
      <c r="AO8" s="7" t="str">
        <f>'Data For Analysis'!AO8</f>
        <v>EVDO</v>
      </c>
      <c r="AP8" s="7" t="str">
        <f>'Data For Analysis'!AP8</f>
        <v>DSL</v>
      </c>
      <c r="AQ8" s="7" t="str">
        <f>'Data For Analysis'!AQ8</f>
        <v>EVDO</v>
      </c>
      <c r="AR8" s="7" t="str">
        <f>'Data For Analysis'!AR8</f>
        <v>DSL</v>
      </c>
      <c r="AS8" s="7" t="str">
        <f>'Data For Analysis'!AS8</f>
        <v>DSL</v>
      </c>
      <c r="AT8" s="7" t="str">
        <f>'Data For Analysis'!AT8</f>
        <v>T1</v>
      </c>
      <c r="AU8" s="7" t="str">
        <f>'Data For Analysis'!AU8</f>
        <v>DSL</v>
      </c>
      <c r="AV8" s="7" t="str">
        <f>'Data For Analysis'!AV8</f>
        <v>EVDO</v>
      </c>
      <c r="AW8" s="7" t="str">
        <f>'Data For Analysis'!AW8</f>
        <v>DSL</v>
      </c>
      <c r="AX8" s="7" t="str">
        <f>'Data For Analysis'!AX8</f>
        <v>DSL</v>
      </c>
      <c r="AY8" s="7" t="str">
        <f>'Data For Analysis'!AY8</f>
        <v>DSL</v>
      </c>
      <c r="AZ8" s="7" t="str">
        <f>'Data For Analysis'!AZ8</f>
        <v>DSL</v>
      </c>
      <c r="BA8" s="7" t="str">
        <f>'Data For Analysis'!BA8</f>
        <v>DSL</v>
      </c>
      <c r="BB8" s="7" t="str">
        <f>'Data For Analysis'!BB8</f>
        <v>EVDO</v>
      </c>
      <c r="BC8" s="7" t="str">
        <f>'Data For Analysis'!BC8</f>
        <v>DSL</v>
      </c>
      <c r="BD8" s="7" t="str">
        <f>'Data For Analysis'!BD8</f>
        <v>DSL</v>
      </c>
      <c r="BE8" s="7" t="str">
        <f>'Data For Analysis'!BE8</f>
        <v>T1</v>
      </c>
      <c r="BF8" s="7" t="str">
        <f>'Data For Analysis'!BF8</f>
        <v>T1</v>
      </c>
      <c r="BG8" s="7" t="str">
        <f>'Data For Analysis'!BG8</f>
        <v>WiFi</v>
      </c>
      <c r="BH8" s="7" t="str">
        <f>'Data For Analysis'!BH8</f>
        <v>EVDO</v>
      </c>
      <c r="BI8" s="7" t="str">
        <f>'Data For Analysis'!BI8</f>
        <v>DSL</v>
      </c>
      <c r="BJ8" s="7" t="str">
        <f>'Data For Analysis'!BJ8</f>
        <v>DSL</v>
      </c>
      <c r="BK8" s="7" t="str">
        <f>'Data For Analysis'!BK8</f>
        <v>DSL</v>
      </c>
      <c r="BL8" s="7" t="str">
        <f>'Data For Analysis'!BL8</f>
        <v>DSL</v>
      </c>
      <c r="BM8" s="7" t="str">
        <f>'Data For Analysis'!BM8</f>
        <v>DSL</v>
      </c>
      <c r="BN8" s="7" t="str">
        <f>'Data For Analysis'!BN8</f>
        <v>DSL</v>
      </c>
      <c r="BO8" s="7" t="str">
        <f>'Data For Analysis'!BO8</f>
        <v>DSL</v>
      </c>
      <c r="BP8" s="7" t="str">
        <f>'Data For Analysis'!BP8</f>
        <v>T1</v>
      </c>
      <c r="BQ8" s="7" t="str">
        <f>'Data For Analysis'!BQ8</f>
        <v>DSL</v>
      </c>
      <c r="BR8" s="7" t="str">
        <f>'Data For Analysis'!BR8</f>
        <v>DSL</v>
      </c>
      <c r="BS8" s="7" t="str">
        <f>'Data For Analysis'!BS8</f>
        <v>DSL</v>
      </c>
      <c r="BT8" s="7" t="str">
        <f>'Data For Analysis'!BT8</f>
        <v>DSL</v>
      </c>
      <c r="BU8" s="7" t="str">
        <f>'Data For Analysis'!BU8</f>
        <v>DSL</v>
      </c>
      <c r="BV8" s="7" t="str">
        <f>'Data For Analysis'!BV8</f>
        <v>EVDO</v>
      </c>
      <c r="BW8" s="7" t="str">
        <f>'Data For Analysis'!BW8</f>
        <v>DSL</v>
      </c>
      <c r="BX8" s="7" t="str">
        <f>'Data For Analysis'!BX8</f>
        <v>DSL</v>
      </c>
      <c r="BY8" s="7" t="str">
        <f>'Data For Analysis'!BY8</f>
        <v>DSL</v>
      </c>
      <c r="BZ8" s="7" t="str">
        <f>'Data For Analysis'!BZ8</f>
        <v>EVDO</v>
      </c>
      <c r="CA8" s="7" t="str">
        <f>'Data For Analysis'!CA8</f>
        <v>DSL</v>
      </c>
      <c r="CB8" s="7" t="str">
        <f>'Data For Analysis'!CB8</f>
        <v>EVDO</v>
      </c>
      <c r="CC8" s="7" t="str">
        <f>'Data For Analysis'!CC8</f>
        <v>DSL</v>
      </c>
      <c r="CD8" s="7" t="str">
        <f>'Data For Analysis'!CD8</f>
        <v>DSL</v>
      </c>
      <c r="CE8" s="7" t="str">
        <f>'Data For Analysis'!CE8</f>
        <v>DSL</v>
      </c>
      <c r="CF8" s="7" t="str">
        <f>'Data For Analysis'!CF8</f>
        <v>EVDO</v>
      </c>
      <c r="CG8" s="7" t="str">
        <f>'Data For Analysis'!CG8</f>
        <v>DSL</v>
      </c>
      <c r="CH8" s="7" t="str">
        <f>'Data For Analysis'!CH8</f>
        <v>EVDO/DSL</v>
      </c>
      <c r="CI8" s="7" t="str">
        <f>'Data For Analysis'!CI8</f>
        <v>EVDO</v>
      </c>
      <c r="CJ8" s="7" t="str">
        <f>'Data For Analysis'!CJ8</f>
        <v>DSL</v>
      </c>
      <c r="CK8" s="7" t="str">
        <f>'Data For Analysis'!CK8</f>
        <v>WiFi</v>
      </c>
      <c r="CL8" s="7" t="str">
        <f>'Data For Analysis'!CL8</f>
        <v>DSL</v>
      </c>
      <c r="CM8" s="7" t="str">
        <f>'Data For Analysis'!CM8</f>
        <v>DSL</v>
      </c>
      <c r="CN8" s="7"/>
      <c r="CO8" s="7"/>
      <c r="CP8" s="7"/>
      <c r="CQ8" s="7"/>
      <c r="CR8" s="7"/>
      <c r="CS8" s="7"/>
      <c r="CT8" s="7"/>
    </row>
    <row r="9" spans="1:98" x14ac:dyDescent="0.25">
      <c r="A9" s="345"/>
      <c r="B9" s="1" t="str">
        <f>'Data For Analysis'!B9</f>
        <v>1.h.</v>
      </c>
      <c r="C9" s="6" t="str">
        <f>'Data For Analysis'!C9</f>
        <v>NA</v>
      </c>
      <c r="D9" s="7">
        <f>'Data For Analysis'!D9</f>
        <v>35000</v>
      </c>
      <c r="E9" s="7">
        <f>'Data For Analysis'!E9</f>
        <v>61000</v>
      </c>
      <c r="F9" s="7">
        <f>'Data For Analysis'!F9</f>
        <v>14000</v>
      </c>
      <c r="G9" s="7">
        <f>'Data For Analysis'!G9</f>
        <v>170000</v>
      </c>
      <c r="H9" s="7">
        <f>'Data For Analysis'!H9</f>
        <v>4750</v>
      </c>
      <c r="I9" s="7">
        <f>'Data For Analysis'!I9</f>
        <v>118000</v>
      </c>
      <c r="J9" s="7">
        <f>'Data For Analysis'!J9</f>
        <v>3880</v>
      </c>
      <c r="K9" s="7">
        <f>'Data For Analysis'!K9</f>
        <v>7000</v>
      </c>
      <c r="L9" s="7">
        <f>'Data For Analysis'!L9</f>
        <v>2400</v>
      </c>
      <c r="M9" s="7">
        <f>'Data For Analysis'!M9</f>
        <v>7764</v>
      </c>
      <c r="N9" s="7">
        <f>'Data For Analysis'!N9</f>
        <v>3450</v>
      </c>
      <c r="O9" s="7">
        <f>'Data For Analysis'!O9</f>
        <v>6000</v>
      </c>
      <c r="P9" s="7">
        <f>'Data For Analysis'!P9</f>
        <v>223200</v>
      </c>
      <c r="Q9" s="7">
        <f>'Data For Analysis'!Q9</f>
        <v>45000</v>
      </c>
      <c r="R9" s="7">
        <f>'Data For Analysis'!R9</f>
        <v>16000</v>
      </c>
      <c r="S9" s="7">
        <f>'Data For Analysis'!S9</f>
        <v>1000</v>
      </c>
      <c r="T9" s="7">
        <f>'Data For Analysis'!T9</f>
        <v>7000</v>
      </c>
      <c r="U9" s="7">
        <f>'Data For Analysis'!U9</f>
        <v>2500</v>
      </c>
      <c r="V9" s="7">
        <f>'Data For Analysis'!V9</f>
        <v>20000</v>
      </c>
      <c r="W9" s="7">
        <f>'Data For Analysis'!W9</f>
        <v>29568</v>
      </c>
      <c r="X9" s="7">
        <f>'Data For Analysis'!X9</f>
        <v>10000</v>
      </c>
      <c r="Y9" s="7">
        <f>'Data For Analysis'!Y9</f>
        <v>566670</v>
      </c>
      <c r="Z9" s="7">
        <f>'Data For Analysis'!Z9</f>
        <v>500000</v>
      </c>
      <c r="AA9" s="7">
        <f>'Data For Analysis'!AA9</f>
        <v>3600</v>
      </c>
      <c r="AB9" s="7">
        <f>'Data For Analysis'!AB9</f>
        <v>11579</v>
      </c>
      <c r="AC9" s="7">
        <f>'Data For Analysis'!AC9</f>
        <v>3821</v>
      </c>
      <c r="AD9" s="7">
        <f>'Data For Analysis'!AD9</f>
        <v>3328</v>
      </c>
      <c r="AE9" s="7">
        <f>'Data For Analysis'!AE9</f>
        <v>268000</v>
      </c>
      <c r="AF9" s="7">
        <f>'Data For Analysis'!AF9</f>
        <v>121200</v>
      </c>
      <c r="AG9" s="7">
        <f>'Data For Analysis'!AG9</f>
        <v>524000</v>
      </c>
      <c r="AH9" s="7">
        <f>'Data For Analysis'!AH9</f>
        <v>3200</v>
      </c>
      <c r="AI9" s="7">
        <f>'Data For Analysis'!AI9</f>
        <v>300</v>
      </c>
      <c r="AJ9" s="7">
        <f>'Data For Analysis'!AJ9</f>
        <v>143220</v>
      </c>
      <c r="AK9" s="7">
        <f>'Data For Analysis'!AK9</f>
        <v>750000</v>
      </c>
      <c r="AL9" s="7">
        <f>'Data For Analysis'!AL9</f>
        <v>18500</v>
      </c>
      <c r="AM9" s="7">
        <f>'Data For Analysis'!AM9</f>
        <v>54000</v>
      </c>
      <c r="AN9" s="7">
        <f>'Data For Analysis'!AN9</f>
        <v>2850</v>
      </c>
      <c r="AO9" s="7">
        <f>'Data For Analysis'!AO9</f>
        <v>3225</v>
      </c>
      <c r="AP9" s="7">
        <f>'Data For Analysis'!AP9</f>
        <v>9800</v>
      </c>
      <c r="AQ9" s="7">
        <f>'Data For Analysis'!AQ9</f>
        <v>27958</v>
      </c>
      <c r="AR9" s="7">
        <f>'Data For Analysis'!AR9</f>
        <v>738038</v>
      </c>
      <c r="AS9" s="7">
        <f>'Data For Analysis'!AS9</f>
        <v>11000</v>
      </c>
      <c r="AT9" s="7">
        <f>'Data For Analysis'!AT9</f>
        <v>153395</v>
      </c>
      <c r="AU9" s="7">
        <f>'Data For Analysis'!AU9</f>
        <v>688202</v>
      </c>
      <c r="AV9" s="7">
        <f>'Data For Analysis'!AV9</f>
        <v>4000</v>
      </c>
      <c r="AW9" s="7">
        <f>'Data For Analysis'!AW9</f>
        <v>9200</v>
      </c>
      <c r="AX9" s="7">
        <f>'Data For Analysis'!AX9</f>
        <v>380489</v>
      </c>
      <c r="AY9" s="7">
        <f>'Data For Analysis'!AY9</f>
        <v>22000</v>
      </c>
      <c r="AZ9" s="7">
        <f>'Data For Analysis'!AZ9</f>
        <v>474000</v>
      </c>
      <c r="BA9" s="7">
        <f>'Data For Analysis'!BA9</f>
        <v>50000</v>
      </c>
      <c r="BB9" s="7">
        <f>'Data For Analysis'!BB9</f>
        <v>0</v>
      </c>
      <c r="BC9" s="7">
        <f>'Data For Analysis'!BC9</f>
        <v>50000</v>
      </c>
      <c r="BD9" s="7">
        <f>'Data For Analysis'!BD9</f>
        <v>50000</v>
      </c>
      <c r="BE9" s="7">
        <f>'Data For Analysis'!BE9</f>
        <v>750000</v>
      </c>
      <c r="BF9" s="7">
        <f>'Data For Analysis'!BF9</f>
        <v>750000</v>
      </c>
      <c r="BG9" s="7">
        <f>'Data For Analysis'!BG9</f>
        <v>4900</v>
      </c>
      <c r="BH9" s="7">
        <f>'Data For Analysis'!BH9</f>
        <v>6050</v>
      </c>
      <c r="BI9" s="7">
        <f>'Data For Analysis'!BI9</f>
        <v>5200</v>
      </c>
      <c r="BJ9" s="7">
        <f>'Data For Analysis'!BJ9</f>
        <v>2750</v>
      </c>
      <c r="BK9" s="7">
        <f>'Data For Analysis'!BK9</f>
        <v>3000</v>
      </c>
      <c r="BL9" s="7">
        <f>'Data For Analysis'!BL9</f>
        <v>117000</v>
      </c>
      <c r="BM9" s="7">
        <f>'Data For Analysis'!BM9</f>
        <v>12220</v>
      </c>
      <c r="BN9" s="7">
        <f>'Data For Analysis'!BN9</f>
        <v>4800</v>
      </c>
      <c r="BO9" s="7">
        <f>'Data For Analysis'!BO9</f>
        <v>8000</v>
      </c>
      <c r="BP9" s="7">
        <f>'Data For Analysis'!BP9</f>
        <v>928300</v>
      </c>
      <c r="BQ9" s="7">
        <f>'Data For Analysis'!BQ9</f>
        <v>825000</v>
      </c>
      <c r="BR9" s="7">
        <f>'Data For Analysis'!BR9</f>
        <v>800</v>
      </c>
      <c r="BS9" s="7">
        <f>'Data For Analysis'!BS9</f>
        <v>25792</v>
      </c>
      <c r="BT9" s="7">
        <f>'Data For Analysis'!BT9</f>
        <v>0</v>
      </c>
      <c r="BU9" s="7">
        <f>'Data For Analysis'!BU9</f>
        <v>320964</v>
      </c>
      <c r="BV9" s="7">
        <f>'Data For Analysis'!BV9</f>
        <v>10520</v>
      </c>
      <c r="BW9" s="7">
        <f>'Data For Analysis'!BW9</f>
        <v>15000</v>
      </c>
      <c r="BX9" s="7">
        <f>'Data For Analysis'!BX9</f>
        <v>8860</v>
      </c>
      <c r="BY9" s="7">
        <f>'Data For Analysis'!BY9</f>
        <v>7021</v>
      </c>
      <c r="BZ9" s="7">
        <f>'Data For Analysis'!BZ9</f>
        <v>40000</v>
      </c>
      <c r="CA9" s="7">
        <f>'Data For Analysis'!CA9</f>
        <v>5000</v>
      </c>
      <c r="CB9" s="7">
        <f>'Data For Analysis'!CB9</f>
        <v>3000</v>
      </c>
      <c r="CC9" s="7">
        <f>'Data For Analysis'!CC9</f>
        <v>15000</v>
      </c>
      <c r="CD9" s="7">
        <f>'Data For Analysis'!CD9</f>
        <v>154000</v>
      </c>
      <c r="CE9" s="7">
        <f>'Data For Analysis'!CE9</f>
        <v>245000</v>
      </c>
      <c r="CF9" s="7">
        <f>'Data For Analysis'!CF9</f>
        <v>3631</v>
      </c>
      <c r="CG9" s="7">
        <f>'Data For Analysis'!CG9</f>
        <v>38900</v>
      </c>
      <c r="CH9" s="7">
        <f>'Data For Analysis'!CH9</f>
        <v>11000</v>
      </c>
      <c r="CI9" s="7">
        <f>'Data For Analysis'!CI9</f>
        <v>33000</v>
      </c>
      <c r="CJ9" s="7">
        <f>'Data For Analysis'!CJ9</f>
        <v>3000</v>
      </c>
      <c r="CK9" s="7">
        <f>'Data For Analysis'!CK9</f>
        <v>1800</v>
      </c>
      <c r="CL9" s="7">
        <f>'Data For Analysis'!CL9</f>
        <v>20000</v>
      </c>
      <c r="CM9" s="7">
        <f>'Data For Analysis'!CM9</f>
        <v>6935</v>
      </c>
      <c r="CN9" s="7"/>
      <c r="CO9" s="7"/>
      <c r="CP9" s="7"/>
      <c r="CQ9" s="7"/>
      <c r="CR9" s="7"/>
      <c r="CS9" s="7"/>
      <c r="CT9" s="7"/>
    </row>
    <row r="10" spans="1:98" x14ac:dyDescent="0.25">
      <c r="A10" s="345"/>
      <c r="B10" s="1" t="str">
        <f>'Data For Analysis'!B10</f>
        <v>2.b.</v>
      </c>
      <c r="C10" s="6" t="str">
        <f>'Data For Analysis'!C10</f>
        <v>Indirect</v>
      </c>
      <c r="D10" s="16">
        <f>'Data For Analysis'!D10</f>
        <v>0.73333333333333328</v>
      </c>
      <c r="E10" s="16">
        <f>'Data For Analysis'!E10</f>
        <v>1.333</v>
      </c>
      <c r="F10" s="16">
        <f>'Data For Analysis'!F10</f>
        <v>4</v>
      </c>
      <c r="G10" s="16">
        <f>'Data For Analysis'!G10</f>
        <v>0.98299999999999998</v>
      </c>
      <c r="H10" s="16">
        <f>'Data For Analysis'!H10</f>
        <v>0.66700000000000004</v>
      </c>
      <c r="I10" s="16">
        <f>'Data For Analysis'!I10</f>
        <v>0.7</v>
      </c>
      <c r="J10" s="16">
        <f>'Data For Analysis'!J10</f>
        <v>0.96666666666666667</v>
      </c>
      <c r="K10" s="16">
        <f>'Data For Analysis'!K10</f>
        <v>0.78300000000000003</v>
      </c>
      <c r="L10" s="16">
        <f>'Data For Analysis'!L10</f>
        <v>0.61599999999999999</v>
      </c>
      <c r="M10" s="16">
        <f>'Data For Analysis'!M10</f>
        <v>1</v>
      </c>
      <c r="N10" s="16">
        <f>'Data For Analysis'!N10</f>
        <v>1.367</v>
      </c>
      <c r="O10" s="16">
        <f>'Data For Analysis'!O10</f>
        <v>0.98299999999999998</v>
      </c>
      <c r="P10" s="16">
        <f>'Data For Analysis'!P10</f>
        <v>1</v>
      </c>
      <c r="Q10" s="16">
        <f>'Data For Analysis'!Q10</f>
        <v>0.83299999999999996</v>
      </c>
      <c r="R10" s="16">
        <f>'Data For Analysis'!R10</f>
        <v>0.9</v>
      </c>
      <c r="S10" s="16">
        <f>'Data For Analysis'!S10</f>
        <v>0.66</v>
      </c>
      <c r="T10" s="16">
        <f>'Data For Analysis'!T10</f>
        <v>1.1000000000000001</v>
      </c>
      <c r="U10" s="16">
        <f>'Data For Analysis'!U10</f>
        <v>1.7330000000000001</v>
      </c>
      <c r="V10" s="16">
        <f>'Data For Analysis'!V10</f>
        <v>1.617</v>
      </c>
      <c r="W10" s="16">
        <f>'Data For Analysis'!W10</f>
        <v>0.53300000000000003</v>
      </c>
      <c r="X10" s="16">
        <f>'Data For Analysis'!X10</f>
        <v>0.78300000000000003</v>
      </c>
      <c r="Y10" s="16">
        <f>'Data For Analysis'!Y10</f>
        <v>0.66700000000000004</v>
      </c>
      <c r="Z10" s="16">
        <f>'Data For Analysis'!Z10</f>
        <v>0.99</v>
      </c>
      <c r="AA10" s="16">
        <f>'Data For Analysis'!AA10</f>
        <v>0.78300000000000003</v>
      </c>
      <c r="AB10" s="16">
        <f>'Data For Analysis'!AB10</f>
        <v>0.95</v>
      </c>
      <c r="AC10" s="16">
        <f>'Data For Analysis'!AC10</f>
        <v>0.17299999999999999</v>
      </c>
      <c r="AD10" s="16">
        <f>'Data For Analysis'!AD10</f>
        <v>0.85799999999999998</v>
      </c>
      <c r="AE10" s="16">
        <f>'Data For Analysis'!AE10</f>
        <v>0.65500000000000003</v>
      </c>
      <c r="AF10" s="16">
        <f>'Data For Analysis'!AF10</f>
        <v>1.367</v>
      </c>
      <c r="AG10" s="16">
        <f>'Data For Analysis'!AG10</f>
        <v>1.0832999999999999</v>
      </c>
      <c r="AH10" s="16">
        <f>'Data For Analysis'!AH10</f>
        <v>0.8</v>
      </c>
      <c r="AI10" s="16">
        <f>'Data For Analysis'!AI10</f>
        <v>1.5669999999999999</v>
      </c>
      <c r="AJ10" s="16">
        <f>'Data For Analysis'!AJ10</f>
        <v>0.66700000000000004</v>
      </c>
      <c r="AK10" s="16">
        <f>'Data For Analysis'!AK10</f>
        <v>1.167</v>
      </c>
      <c r="AL10" s="16">
        <f>'Data For Analysis'!AL10</f>
        <v>1.583</v>
      </c>
      <c r="AM10" s="16">
        <f>'Data For Analysis'!AM10</f>
        <v>1.1000000000000001</v>
      </c>
      <c r="AN10" s="16">
        <f>'Data For Analysis'!AN10</f>
        <v>4.3330000000000002</v>
      </c>
      <c r="AO10" s="16">
        <f>'Data For Analysis'!AO10</f>
        <v>2.9670000000000001</v>
      </c>
      <c r="AP10" s="16">
        <f>'Data For Analysis'!AP10</f>
        <v>1.2330000000000001</v>
      </c>
      <c r="AQ10" s="16">
        <f>'Data For Analysis'!AQ10</f>
        <v>0.61699999999999999</v>
      </c>
      <c r="AR10" s="16">
        <f>'Data For Analysis'!AR10</f>
        <v>1.1499999999999999</v>
      </c>
      <c r="AS10" s="16">
        <f>'Data For Analysis'!AS10</f>
        <v>0.56499999999999995</v>
      </c>
      <c r="AT10" s="16">
        <f>'Data For Analysis'!AT10</f>
        <v>0.66700000000000004</v>
      </c>
      <c r="AU10" s="16">
        <f>'Data For Analysis'!AU10</f>
        <v>2.9329999999999998</v>
      </c>
      <c r="AV10" s="16">
        <f>'Data For Analysis'!AV10</f>
        <v>5.181</v>
      </c>
      <c r="AW10" s="16">
        <f>'Data For Analysis'!AW10</f>
        <v>1.25</v>
      </c>
      <c r="AX10" s="16">
        <f>'Data For Analysis'!AX10</f>
        <v>1.167</v>
      </c>
      <c r="AY10" s="16">
        <f>'Data For Analysis'!AY10</f>
        <v>1.9330000000000001</v>
      </c>
      <c r="AZ10" s="16">
        <f>'Data For Analysis'!AZ10</f>
        <v>0.41699999999999998</v>
      </c>
      <c r="BA10" s="16">
        <f>'Data For Analysis'!BA10</f>
        <v>0.81699999999999995</v>
      </c>
      <c r="BB10" s="16">
        <f>'Data For Analysis'!BB10</f>
        <v>14.5</v>
      </c>
      <c r="BC10" s="16">
        <f>'Data For Analysis'!BC10</f>
        <v>0.9</v>
      </c>
      <c r="BD10" s="16">
        <f>'Data For Analysis'!BD10</f>
        <v>1.0832999999999999</v>
      </c>
      <c r="BE10" s="16">
        <f>'Data For Analysis'!BE10</f>
        <v>1.333</v>
      </c>
      <c r="BF10" s="16">
        <f>'Data For Analysis'!BF10</f>
        <v>1.667</v>
      </c>
      <c r="BG10" s="16">
        <f>'Data For Analysis'!BG10</f>
        <v>3.1709999999999998</v>
      </c>
      <c r="BH10" s="16">
        <f>'Data For Analysis'!BH10</f>
        <v>1.6</v>
      </c>
      <c r="BI10" s="16">
        <f>'Data For Analysis'!BI10</f>
        <v>1.7749999999999999</v>
      </c>
      <c r="BJ10" s="16">
        <f>'Data For Analysis'!BJ10</f>
        <v>0.83299999999999996</v>
      </c>
      <c r="BK10" s="16">
        <f>'Data For Analysis'!BK10</f>
        <v>0.66700000000000004</v>
      </c>
      <c r="BL10" s="16">
        <f>'Data For Analysis'!BL10</f>
        <v>2.851</v>
      </c>
      <c r="BM10" s="16">
        <f>'Data For Analysis'!BM10</f>
        <v>1.6</v>
      </c>
      <c r="BN10" s="16">
        <f>'Data For Analysis'!BN10</f>
        <v>1.383</v>
      </c>
      <c r="BO10" s="16">
        <f>'Data For Analysis'!BO10</f>
        <v>1.7669999999999999</v>
      </c>
      <c r="BP10" s="16">
        <f>'Data For Analysis'!BP10</f>
        <v>4.37</v>
      </c>
      <c r="BQ10" s="16">
        <f>'Data For Analysis'!BQ10</f>
        <v>0.58299999999999996</v>
      </c>
      <c r="BR10" s="16">
        <f>'Data For Analysis'!BR10</f>
        <v>1.2330000000000001</v>
      </c>
      <c r="BS10" s="16">
        <f>'Data For Analysis'!BS10</f>
        <v>0.81299999999999994</v>
      </c>
      <c r="BT10" s="16">
        <f>'Data For Analysis'!BT10</f>
        <v>0.41699999999999998</v>
      </c>
      <c r="BU10" s="16">
        <f>'Data For Analysis'!BU10</f>
        <v>1.35</v>
      </c>
      <c r="BV10" s="16">
        <f>'Data For Analysis'!BV10</f>
        <v>3.117</v>
      </c>
      <c r="BW10" s="16">
        <f>'Data For Analysis'!BW10</f>
        <v>1.5329999999999999</v>
      </c>
      <c r="BX10" s="16">
        <f>'Data For Analysis'!BX10</f>
        <v>0.98299999999999998</v>
      </c>
      <c r="BY10" s="16">
        <f>'Data For Analysis'!BY10</f>
        <v>1.117</v>
      </c>
      <c r="BZ10" s="16">
        <f>'Data For Analysis'!BZ10</f>
        <v>2.8</v>
      </c>
      <c r="CA10" s="16">
        <f>'Data For Analysis'!CA10</f>
        <v>1.117</v>
      </c>
      <c r="CB10" s="16">
        <f>'Data For Analysis'!CB10</f>
        <v>2.4670000000000001</v>
      </c>
      <c r="CC10" s="16">
        <f>'Data For Analysis'!CC10</f>
        <v>1.45</v>
      </c>
      <c r="CD10" s="16">
        <f>'Data For Analysis'!CD10</f>
        <v>1.0667</v>
      </c>
      <c r="CE10" s="16">
        <f>'Data For Analysis'!CE10</f>
        <v>0.66700000000000004</v>
      </c>
      <c r="CF10" s="16">
        <f>'Data For Analysis'!CF10</f>
        <v>1.4670000000000001</v>
      </c>
      <c r="CG10" s="16">
        <f>'Data For Analysis'!CG10</f>
        <v>2.75</v>
      </c>
      <c r="CH10" s="16">
        <f>'Data For Analysis'!CH10</f>
        <v>2.3330000000000002</v>
      </c>
      <c r="CI10" s="16">
        <f>'Data For Analysis'!CI10</f>
        <v>3.15</v>
      </c>
      <c r="CJ10" s="16">
        <f>'Data For Analysis'!CJ10</f>
        <v>1.2170000000000001</v>
      </c>
      <c r="CK10" s="16">
        <f>'Data For Analysis'!CK10</f>
        <v>0.5</v>
      </c>
      <c r="CL10" s="16">
        <f>'Data For Analysis'!CL10</f>
        <v>0.96699999999999997</v>
      </c>
      <c r="CM10" s="16">
        <f>'Data For Analysis'!CM10</f>
        <v>1.2330000000000001</v>
      </c>
      <c r="CN10" s="16"/>
      <c r="CO10" s="16"/>
      <c r="CP10" s="16"/>
      <c r="CQ10" s="16"/>
      <c r="CR10" s="16"/>
      <c r="CS10" s="16"/>
      <c r="CT10" s="16"/>
    </row>
    <row r="11" spans="1:98" x14ac:dyDescent="0.25">
      <c r="A11" s="345"/>
      <c r="B11" s="1" t="str">
        <f>'Data For Analysis'!B11</f>
        <v>2.c.</v>
      </c>
      <c r="C11" s="6" t="str">
        <f>'Data For Analysis'!C11</f>
        <v>Indirect</v>
      </c>
      <c r="D11" s="16">
        <f>'Data For Analysis'!D11-'Data For Analysis'!D10</f>
        <v>0.6</v>
      </c>
      <c r="E11" s="16">
        <f>'Data For Analysis'!E11-'Data For Analysis'!E10</f>
        <v>0.58400000000000007</v>
      </c>
      <c r="F11" s="16">
        <f>'Data For Analysis'!F11-'Data For Analysis'!F10</f>
        <v>1.2333333333333334</v>
      </c>
      <c r="G11" s="16">
        <f>'Data For Analysis'!G11-'Data For Analysis'!G10</f>
        <v>0.26700000000000002</v>
      </c>
      <c r="H11" s="16">
        <f>'Data For Analysis'!H11-'Data For Analysis'!H10</f>
        <v>0.25</v>
      </c>
      <c r="I11" s="16">
        <f>'Data For Analysis'!I11-'Data For Analysis'!I10</f>
        <v>0.60000000000000009</v>
      </c>
      <c r="J11" s="16">
        <f>'Data For Analysis'!J11-'Data For Analysis'!J10</f>
        <v>0.45000000000000007</v>
      </c>
      <c r="K11" s="16">
        <f>'Data For Analysis'!K11-'Data For Analysis'!K10</f>
        <v>0.36699999999999988</v>
      </c>
      <c r="L11" s="16">
        <f>'Data For Analysis'!L11-'Data For Analysis'!L10</f>
        <v>0.12</v>
      </c>
      <c r="M11" s="16">
        <f>'Data For Analysis'!M11-'Data For Analysis'!M10</f>
        <v>0.44999999999999996</v>
      </c>
      <c r="N11" s="16">
        <f>'Data For Analysis'!N11-'Data For Analysis'!N10</f>
        <v>2.2160000000000002</v>
      </c>
      <c r="O11" s="16">
        <f>'Data For Analysis'!O11-'Data For Analysis'!O10</f>
        <v>0.26700000000000002</v>
      </c>
      <c r="P11" s="16">
        <f>'Data For Analysis'!P11-'Data For Analysis'!P10</f>
        <v>0.75</v>
      </c>
      <c r="Q11" s="16">
        <f>'Data For Analysis'!Q11-'Data For Analysis'!Q10</f>
        <v>0.31699999999999995</v>
      </c>
      <c r="R11" s="16">
        <f>'Data For Analysis'!R11-'Data For Analysis'!R10</f>
        <v>0.11669999999999991</v>
      </c>
      <c r="S11" s="16">
        <f>'Data For Analysis'!S11-'Data For Analysis'!S10</f>
        <v>0.11599999999999999</v>
      </c>
      <c r="T11" s="16">
        <f>'Data For Analysis'!T11-'Data For Analysis'!T10</f>
        <v>1.1000000000000001</v>
      </c>
      <c r="U11" s="16">
        <f>'Data For Analysis'!U11-'Data For Analysis'!U10</f>
        <v>0.19999999999999996</v>
      </c>
      <c r="V11" s="16">
        <f>'Data For Analysis'!V11-'Data For Analysis'!V10</f>
        <v>1.1659999999999999</v>
      </c>
      <c r="W11" s="16">
        <f>'Data For Analysis'!W11-'Data For Analysis'!W10</f>
        <v>0.21699999999999997</v>
      </c>
      <c r="X11" s="16">
        <f>'Data For Analysis'!X11-'Data For Analysis'!X10</f>
        <v>0.49999999999999989</v>
      </c>
      <c r="Y11" s="16">
        <f>'Data For Analysis'!Y11-'Data For Analysis'!Y10</f>
        <v>9.9999999999999978E-2</v>
      </c>
      <c r="Z11" s="16">
        <f>'Data For Analysis'!Z11-'Data For Analysis'!Z10</f>
        <v>0</v>
      </c>
      <c r="AA11" s="16">
        <f>'Data For Analysis'!AA11-'Data For Analysis'!AA10</f>
        <v>0.15000000000000002</v>
      </c>
      <c r="AB11" s="16">
        <f>'Data For Analysis'!AB11-'Data For Analysis'!AB10</f>
        <v>0.26700000000000013</v>
      </c>
      <c r="AC11" s="16">
        <f>'Data For Analysis'!AC11-'Data For Analysis'!AC10</f>
        <v>0.39199999999999996</v>
      </c>
      <c r="AD11" s="16">
        <f>'Data For Analysis'!AD11-'Data For Analysis'!AD10</f>
        <v>0.20800000000000007</v>
      </c>
      <c r="AE11" s="16">
        <f>'Data For Analysis'!AE11-'Data For Analysis'!AE10</f>
        <v>0.45999999999999996</v>
      </c>
      <c r="AF11" s="16">
        <f>'Data For Analysis'!AF11-'Data For Analysis'!AF10</f>
        <v>0</v>
      </c>
      <c r="AG11" s="16">
        <f>'Data For Analysis'!AG11-'Data For Analysis'!AG10</f>
        <v>0.18369999999999997</v>
      </c>
      <c r="AH11" s="16">
        <f>'Data For Analysis'!AH11-'Data For Analysis'!AH10</f>
        <v>0.66700000000000004</v>
      </c>
      <c r="AI11" s="16">
        <f>'Data For Analysis'!AI11-'Data For Analysis'!AI10</f>
        <v>0.3660000000000001</v>
      </c>
      <c r="AJ11" s="16">
        <f>'Data For Analysis'!AJ11-'Data For Analysis'!AJ10</f>
        <v>0.36630000000000007</v>
      </c>
      <c r="AK11" s="16">
        <f>'Data For Analysis'!AK11-'Data For Analysis'!AK10</f>
        <v>0.33299999999999996</v>
      </c>
      <c r="AL11" s="16">
        <f>'Data For Analysis'!AL11-'Data For Analysis'!AL10</f>
        <v>0.36699999999999999</v>
      </c>
      <c r="AM11" s="16">
        <f>'Data For Analysis'!AM11-'Data For Analysis'!AM10</f>
        <v>0.23299999999999987</v>
      </c>
      <c r="AN11" s="16">
        <f>'Data For Analysis'!AN11-'Data For Analysis'!AN10</f>
        <v>0.41699999999999982</v>
      </c>
      <c r="AO11" s="16">
        <f>'Data For Analysis'!AO11-'Data For Analysis'!AO10</f>
        <v>0.19999999999999973</v>
      </c>
      <c r="AP11" s="16">
        <f>'Data For Analysis'!AP11-'Data For Analysis'!AP10</f>
        <v>0.21699999999999986</v>
      </c>
      <c r="AQ11" s="16">
        <f>'Data For Analysis'!AQ11-'Data For Analysis'!AQ10</f>
        <v>0.46629999999999994</v>
      </c>
      <c r="AR11" s="16">
        <f>'Data For Analysis'!AR11-'Data For Analysis'!AR10</f>
        <v>0.30000000000000004</v>
      </c>
      <c r="AS11" s="16">
        <f>'Data For Analysis'!AS11-'Data For Analysis'!AS10</f>
        <v>8.2000000000000073E-2</v>
      </c>
      <c r="AT11" s="16">
        <f>'Data For Analysis'!AT11-'Data For Analysis'!AT10</f>
        <v>0.19999999999999996</v>
      </c>
      <c r="AU11" s="16">
        <f>'Data For Analysis'!AU11-'Data For Analysis'!AU10</f>
        <v>0.28400000000000025</v>
      </c>
      <c r="AV11" s="16">
        <f>'Data For Analysis'!AV11-'Data For Analysis'!AV10</f>
        <v>1.499999999999968E-2</v>
      </c>
      <c r="AW11" s="16">
        <f>'Data For Analysis'!AW11-'Data For Analysis'!AW10</f>
        <v>0.5</v>
      </c>
      <c r="AX11" s="16">
        <f>'Data For Analysis'!AX11-'Data For Analysis'!AX10</f>
        <v>0.66599999999999993</v>
      </c>
      <c r="AY11" s="16">
        <f>'Data For Analysis'!AY11-'Data For Analysis'!AY10</f>
        <v>0.30000000000000004</v>
      </c>
      <c r="AZ11" s="16">
        <f>'Data For Analysis'!AZ11-'Data For Analysis'!AZ10</f>
        <v>8.3000000000000018E-2</v>
      </c>
      <c r="BA11" s="16">
        <f>'Data For Analysis'!BA11-'Data For Analysis'!BA10</f>
        <v>0.56600000000000006</v>
      </c>
      <c r="BB11" s="16">
        <f>'Data For Analysis'!BB11-'Data For Analysis'!BB10</f>
        <v>0.5</v>
      </c>
      <c r="BC11" s="16">
        <f>'Data For Analysis'!BC11-'Data For Analysis'!BC10</f>
        <v>0.65</v>
      </c>
      <c r="BD11" s="16">
        <f>'Data For Analysis'!BD11-'Data For Analysis'!BD10</f>
        <v>0.43369999999999997</v>
      </c>
      <c r="BE11" s="16">
        <f>'Data For Analysis'!BE11-'Data For Analysis'!BE10</f>
        <v>0.16700000000000004</v>
      </c>
      <c r="BF11" s="16">
        <f>'Data For Analysis'!BF11-'Data For Analysis'!BF10</f>
        <v>0.25</v>
      </c>
      <c r="BG11" s="16">
        <f>'Data For Analysis'!BG11-'Data For Analysis'!BG10</f>
        <v>0.70100000000000007</v>
      </c>
      <c r="BH11" s="16">
        <f>'Data For Analysis'!BH11-'Data For Analysis'!BH10</f>
        <v>0.5</v>
      </c>
      <c r="BI11" s="16">
        <f>'Data For Analysis'!BI11-'Data For Analysis'!BI10</f>
        <v>0.19400000000000017</v>
      </c>
      <c r="BJ11" s="16">
        <f>'Data For Analysis'!BJ11-'Data For Analysis'!BJ10</f>
        <v>0.35000000000000009</v>
      </c>
      <c r="BK11" s="16">
        <f>'Data For Analysis'!BK11-'Data For Analysis'!BK10</f>
        <v>0.13300000000000001</v>
      </c>
      <c r="BL11" s="16">
        <f>'Data For Analysis'!BL11-'Data For Analysis'!BL10</f>
        <v>0.18369999999999997</v>
      </c>
      <c r="BM11" s="16">
        <f>'Data For Analysis'!BM11-'Data For Analysis'!BM10</f>
        <v>0.64999999999999991</v>
      </c>
      <c r="BN11" s="16">
        <f>'Data For Analysis'!BN11-'Data For Analysis'!BN10</f>
        <v>0.15399999999999991</v>
      </c>
      <c r="BO11" s="16">
        <f>'Data For Analysis'!BO11-'Data For Analysis'!BO10</f>
        <v>0.39999999999999991</v>
      </c>
      <c r="BP11" s="16">
        <f>'Data For Analysis'!BP11-'Data For Analysis'!BP10</f>
        <v>1.532</v>
      </c>
      <c r="BQ11" s="16">
        <f>'Data For Analysis'!BQ11-'Data For Analysis'!BQ10</f>
        <v>0.25</v>
      </c>
      <c r="BR11" s="16">
        <f>'Data For Analysis'!BR11-'Data For Analysis'!BR10</f>
        <v>0.25</v>
      </c>
      <c r="BS11" s="16">
        <f>'Data For Analysis'!BS11-'Data For Analysis'!BS10</f>
        <v>0.54700000000000015</v>
      </c>
      <c r="BT11" s="16">
        <f>'Data For Analysis'!BT11-'Data For Analysis'!BT10</f>
        <v>0.316</v>
      </c>
      <c r="BU11" s="16">
        <f>'Data For Analysis'!BU11-'Data For Analysis'!BU10</f>
        <v>0.28299999999999992</v>
      </c>
      <c r="BV11" s="16">
        <f>'Data For Analysis'!BV11-'Data For Analysis'!BV10</f>
        <v>0.25</v>
      </c>
      <c r="BW11" s="16">
        <f>'Data For Analysis'!BW11-'Data For Analysis'!BW10</f>
        <v>6.7000000000000171E-2</v>
      </c>
      <c r="BX11" s="16">
        <f>'Data For Analysis'!BX11-'Data For Analysis'!BX10</f>
        <v>0.33399999999999996</v>
      </c>
      <c r="BY11" s="16">
        <f>'Data For Analysis'!BY11-'Data For Analysis'!BY10</f>
        <v>0.2330000000000001</v>
      </c>
      <c r="BZ11" s="16">
        <f>'Data For Analysis'!BZ11-'Data For Analysis'!BZ10</f>
        <v>0.23330000000000028</v>
      </c>
      <c r="CA11" s="16">
        <f>'Data For Analysis'!CA11-'Data For Analysis'!CA10</f>
        <v>0.2330000000000001</v>
      </c>
      <c r="CB11" s="16">
        <f>'Data For Analysis'!CB11-'Data For Analysis'!CB10</f>
        <v>0.75</v>
      </c>
      <c r="CC11" s="16">
        <f>'Data For Analysis'!CC11-'Data For Analysis'!CC10</f>
        <v>0.81699999999999995</v>
      </c>
      <c r="CD11" s="16">
        <f>'Data For Analysis'!CD11-'Data For Analysis'!CD10</f>
        <v>0.10030000000000006</v>
      </c>
      <c r="CE11" s="16">
        <f>'Data For Analysis'!CE11-'Data For Analysis'!CE10</f>
        <v>0.3496999999999999</v>
      </c>
      <c r="CF11" s="16">
        <f>'Data For Analysis'!CF11-'Data For Analysis'!CF10</f>
        <v>0.19999999999999996</v>
      </c>
      <c r="CG11" s="16">
        <f>'Data For Analysis'!CG11-'Data For Analysis'!CG10</f>
        <v>0.56700000000000017</v>
      </c>
      <c r="CH11" s="16">
        <f>'Data For Analysis'!CH11-'Data For Analysis'!CH10</f>
        <v>0.78399999999999981</v>
      </c>
      <c r="CI11" s="16">
        <f>'Data For Analysis'!CI11-'Data For Analysis'!CI10</f>
        <v>0.5</v>
      </c>
      <c r="CJ11" s="16">
        <f>'Data For Analysis'!CJ11-'Data For Analysis'!CJ10</f>
        <v>0.18299999999999983</v>
      </c>
      <c r="CK11" s="16">
        <f>'Data For Analysis'!CK11-'Data For Analysis'!CK10</f>
        <v>0.19999999999999996</v>
      </c>
      <c r="CL11" s="16">
        <f>'Data For Analysis'!CL11-'Data For Analysis'!CL10</f>
        <v>0.29100000000000004</v>
      </c>
      <c r="CM11" s="16">
        <f>'Data For Analysis'!CM11-'Data For Analysis'!CM10</f>
        <v>0.19999999999999996</v>
      </c>
      <c r="CN11" s="16"/>
      <c r="CO11" s="16"/>
      <c r="CP11" s="16"/>
      <c r="CQ11" s="16"/>
      <c r="CR11" s="16"/>
      <c r="CS11" s="16"/>
      <c r="CT11" s="16"/>
    </row>
    <row r="12" spans="1:98" x14ac:dyDescent="0.25">
      <c r="A12" s="345"/>
      <c r="B12" s="1" t="str">
        <f>'Data For Analysis'!B12</f>
        <v>2.d.</v>
      </c>
      <c r="C12" s="6" t="str">
        <f>'Data For Analysis'!C12</f>
        <v>Indirect</v>
      </c>
      <c r="D12" s="16">
        <f>'Data For Analysis'!D12-'Data For Analysis'!D11</f>
        <v>0.21666666666666679</v>
      </c>
      <c r="E12" s="16">
        <f>'Data For Analysis'!E12-'Data For Analysis'!E11</f>
        <v>1.3659999999999999</v>
      </c>
      <c r="F12" s="16">
        <f>'Data For Analysis'!F12-'Data For Analysis'!F11</f>
        <v>1.083333333333333</v>
      </c>
      <c r="G12" s="16">
        <f>'Data For Analysis'!G12-'Data For Analysis'!G11</f>
        <v>0.66700000000000004</v>
      </c>
      <c r="H12" s="16">
        <f>'Data For Analysis'!H12-'Data For Analysis'!H11</f>
        <v>0.25</v>
      </c>
      <c r="I12" s="16">
        <f>'Data For Analysis'!I12-'Data For Analysis'!I11</f>
        <v>0.78333333333333344</v>
      </c>
      <c r="J12" s="16">
        <f>'Data For Analysis'!J12-'Data For Analysis'!J11</f>
        <v>1.6833333333333333</v>
      </c>
      <c r="K12" s="16">
        <f>'Data For Analysis'!K12-'Data For Analysis'!K11</f>
        <v>0.93300000000000027</v>
      </c>
      <c r="L12" s="16">
        <f>'Data For Analysis'!L12-'Data For Analysis'!L11</f>
        <v>0.28849999999999998</v>
      </c>
      <c r="M12" s="16">
        <f>'Data For Analysis'!M12-'Data For Analysis'!M11</f>
        <v>2.617</v>
      </c>
      <c r="N12" s="16">
        <f>'Data For Analysis'!N12-'Data For Analysis'!N11</f>
        <v>8.0839999999999996</v>
      </c>
      <c r="O12" s="16">
        <f>'Data For Analysis'!O12-'Data For Analysis'!O11</f>
        <v>1.3330000000000002</v>
      </c>
      <c r="P12" s="16">
        <f>'Data For Analysis'!P12-'Data For Analysis'!P11</f>
        <v>1.0169999999999999</v>
      </c>
      <c r="Q12" s="16">
        <f>'Data For Analysis'!Q12-'Data For Analysis'!Q11</f>
        <v>1.4670000000000001</v>
      </c>
      <c r="R12" s="16">
        <f>'Data For Analysis'!R12-'Data For Analysis'!R11</f>
        <v>0.9003000000000001</v>
      </c>
      <c r="S12" s="16">
        <f>'Data For Analysis'!S12-'Data For Analysis'!S11</f>
        <v>0.625</v>
      </c>
      <c r="T12" s="16">
        <f>'Data For Analysis'!T12-'Data For Analysis'!T11</f>
        <v>3.8499999999999996</v>
      </c>
      <c r="U12" s="16">
        <f>'Data For Analysis'!U12-'Data For Analysis'!U11</f>
        <v>0.86699999999999977</v>
      </c>
      <c r="V12" s="16">
        <f>'Data For Analysis'!V12-'Data For Analysis'!V11</f>
        <v>3.5500000000000003</v>
      </c>
      <c r="W12" s="16">
        <f>'Data For Analysis'!W12-'Data For Analysis'!W11</f>
        <v>0.21699999999999997</v>
      </c>
      <c r="X12" s="16">
        <f>'Data For Analysis'!X12-'Data For Analysis'!X11</f>
        <v>0.53400000000000003</v>
      </c>
      <c r="Y12" s="16">
        <f>'Data For Analysis'!Y12-'Data For Analysis'!Y11</f>
        <v>0.58300000000000007</v>
      </c>
      <c r="Z12" s="16">
        <f>'Data For Analysis'!Z12-'Data For Analysis'!Z11</f>
        <v>0.81800000000000006</v>
      </c>
      <c r="AA12" s="16">
        <f>'Data For Analysis'!AA12-'Data For Analysis'!AA11</f>
        <v>0.39999999999999991</v>
      </c>
      <c r="AB12" s="16">
        <f>'Data For Analysis'!AB12-'Data For Analysis'!AB11</f>
        <v>1.4329999999999998</v>
      </c>
      <c r="AC12" s="16">
        <f>'Data For Analysis'!AC12-'Data For Analysis'!AC11</f>
        <v>0.83699999999999997</v>
      </c>
      <c r="AD12" s="16">
        <f>'Data For Analysis'!AD12-'Data For Analysis'!AD11</f>
        <v>0.81599999999999984</v>
      </c>
      <c r="AE12" s="16">
        <f>'Data For Analysis'!AE12-'Data For Analysis'!AE11</f>
        <v>0.65199999999999991</v>
      </c>
      <c r="AF12" s="16">
        <f>'Data For Analysis'!AF12-'Data For Analysis'!AF11</f>
        <v>0.26600000000000001</v>
      </c>
      <c r="AG12" s="16">
        <f>'Data For Analysis'!AG12-'Data For Analysis'!AG11</f>
        <v>0.74970000000000026</v>
      </c>
      <c r="AH12" s="16">
        <f>'Data For Analysis'!AH12-'Data For Analysis'!AH11</f>
        <v>0.33299999999999996</v>
      </c>
      <c r="AI12" s="16">
        <f>'Data For Analysis'!AI12-'Data For Analysis'!AI11</f>
        <v>2.3840000000000003</v>
      </c>
      <c r="AJ12" s="16">
        <f>'Data For Analysis'!AJ12-'Data For Analysis'!AJ11</f>
        <v>0.71669999999999989</v>
      </c>
      <c r="AK12" s="16">
        <f>'Data For Analysis'!AK12-'Data For Analysis'!AK11</f>
        <v>1.1669999999999998</v>
      </c>
      <c r="AL12" s="16">
        <f>'Data For Analysis'!AL12-'Data For Analysis'!AL11</f>
        <v>1.7169999999999999</v>
      </c>
      <c r="AM12" s="16">
        <f>'Data For Analysis'!AM12-'Data For Analysis'!AM11</f>
        <v>0.16700000000000004</v>
      </c>
      <c r="AN12" s="16">
        <f>'Data For Analysis'!AN12-'Data For Analysis'!AN11</f>
        <v>4.3499999999999996</v>
      </c>
      <c r="AO12" s="16">
        <f>'Data For Analysis'!AO12-'Data For Analysis'!AO11</f>
        <v>0.33300000000000018</v>
      </c>
      <c r="AP12" s="16">
        <f>'Data For Analysis'!AP12-'Data For Analysis'!AP11</f>
        <v>0.46700000000000008</v>
      </c>
      <c r="AQ12" s="16">
        <f>'Data For Analysis'!AQ12-'Data For Analysis'!AQ11</f>
        <v>0.88370000000000015</v>
      </c>
      <c r="AR12" s="16">
        <f>'Data For Analysis'!AR12-'Data For Analysis'!AR11</f>
        <v>0.53300000000000014</v>
      </c>
      <c r="AS12" s="16">
        <f>'Data For Analysis'!AS12-'Data For Analysis'!AS11</f>
        <v>0.54299999999999993</v>
      </c>
      <c r="AT12" s="16">
        <f>'Data For Analysis'!AT12-'Data For Analysis'!AT11</f>
        <v>0.78299999999999992</v>
      </c>
      <c r="AU12" s="16">
        <f>'Data For Analysis'!AU12-'Data For Analysis'!AU11</f>
        <v>0.76600000000000001</v>
      </c>
      <c r="AV12" s="16">
        <f>'Data For Analysis'!AV12-'Data For Analysis'!AV11</f>
        <v>1.6930000000000005</v>
      </c>
      <c r="AW12" s="16">
        <f>'Data For Analysis'!AW12-'Data For Analysis'!AW11</f>
        <v>0.16700000000000004</v>
      </c>
      <c r="AX12" s="16">
        <f>'Data For Analysis'!AX12-'Data For Analysis'!AX11</f>
        <v>0.58399999999999985</v>
      </c>
      <c r="AY12" s="16">
        <f>'Data For Analysis'!AY12-'Data For Analysis'!AY11</f>
        <v>1</v>
      </c>
      <c r="AZ12" s="16">
        <f>'Data For Analysis'!AZ12-'Data For Analysis'!AZ11</f>
        <v>0.8</v>
      </c>
      <c r="BA12" s="16">
        <f>'Data For Analysis'!BA12-'Data For Analysis'!BA11</f>
        <v>0.7669999999999999</v>
      </c>
      <c r="BB12" s="16">
        <f>'Data For Analysis'!BB12-'Data For Analysis'!BB11</f>
        <v>1.0333000000000006</v>
      </c>
      <c r="BC12" s="16">
        <f>'Data For Analysis'!BC12-'Data For Analysis'!BC11</f>
        <v>0.93300000000000005</v>
      </c>
      <c r="BD12" s="16">
        <f>'Data For Analysis'!BD12-'Data For Analysis'!BD11</f>
        <v>0.71600000000000019</v>
      </c>
      <c r="BE12" s="16">
        <f>'Data For Analysis'!BE12-'Data For Analysis'!BE11</f>
        <v>1.3330000000000002</v>
      </c>
      <c r="BF12" s="16">
        <f>'Data For Analysis'!BF12-'Data For Analysis'!BF11</f>
        <v>1.333</v>
      </c>
      <c r="BG12" s="16">
        <f>'Data For Analysis'!BG12-'Data For Analysis'!BG11</f>
        <v>1.0990000000000002</v>
      </c>
      <c r="BH12" s="16">
        <f>'Data For Analysis'!BH12-'Data For Analysis'!BH11</f>
        <v>0.35000000000000009</v>
      </c>
      <c r="BI12" s="16">
        <f>'Data For Analysis'!BI12-'Data For Analysis'!BI11</f>
        <v>6.6499999999999782E-2</v>
      </c>
      <c r="BJ12" s="16">
        <f>'Data For Analysis'!BJ12-'Data For Analysis'!BJ11</f>
        <v>0.64999999999999991</v>
      </c>
      <c r="BK12" s="16">
        <f>'Data For Analysis'!BK12-'Data For Analysis'!BK11</f>
        <v>0.34999999999999987</v>
      </c>
      <c r="BL12" s="16">
        <f>'Data For Analysis'!BL12-'Data For Analysis'!BL11</f>
        <v>0.20230000000000015</v>
      </c>
      <c r="BM12" s="16">
        <f>'Data For Analysis'!BM12-'Data For Analysis'!BM11</f>
        <v>0.28299999999999992</v>
      </c>
      <c r="BN12" s="16">
        <f>'Data For Analysis'!BN12-'Data For Analysis'!BN11</f>
        <v>1.4130000000000003</v>
      </c>
      <c r="BO12" s="16">
        <f>'Data For Analysis'!BO12-'Data For Analysis'!BO11</f>
        <v>0.80000000000000027</v>
      </c>
      <c r="BP12" s="16">
        <f>'Data For Analysis'!BP12-'Data For Analysis'!BP11</f>
        <v>0.45199999999999996</v>
      </c>
      <c r="BQ12" s="16">
        <f>'Data For Analysis'!BQ12-'Data For Analysis'!BQ11</f>
        <v>0.58400000000000007</v>
      </c>
      <c r="BR12" s="16">
        <f>'Data For Analysis'!BR12-'Data For Analysis'!BR11</f>
        <v>0.44999999999999996</v>
      </c>
      <c r="BS12" s="16">
        <f>'Data For Analysis'!BS12-'Data For Analysis'!BS11</f>
        <v>0.58299999999999996</v>
      </c>
      <c r="BT12" s="16">
        <f>'Data For Analysis'!BT12-'Data For Analysis'!BT11</f>
        <v>0.58399999999999996</v>
      </c>
      <c r="BU12" s="16">
        <f>'Data For Analysis'!BU12-'Data For Analysis'!BU11</f>
        <v>1.7999999999999998</v>
      </c>
      <c r="BV12" s="16">
        <f>'Data For Analysis'!BV12-'Data For Analysis'!BV11</f>
        <v>0.71630000000000038</v>
      </c>
      <c r="BW12" s="16">
        <f>'Data For Analysis'!BW12-'Data For Analysis'!BW11</f>
        <v>2.2999999999999998</v>
      </c>
      <c r="BX12" s="16">
        <f>'Data For Analysis'!BX12-'Data For Analysis'!BX11</f>
        <v>0.65000000000000013</v>
      </c>
      <c r="BY12" s="16">
        <f>'Data For Analysis'!BY12-'Data For Analysis'!BY11</f>
        <v>0.43299999999999983</v>
      </c>
      <c r="BZ12" s="16">
        <f>'Data For Analysis'!BZ12-'Data For Analysis'!BZ11</f>
        <v>0.39969999999999972</v>
      </c>
      <c r="CA12" s="16">
        <f>'Data For Analysis'!CA12-'Data For Analysis'!CA11</f>
        <v>0.28299999999999992</v>
      </c>
      <c r="CB12" s="16">
        <f>'Data For Analysis'!CB12-'Data For Analysis'!CB11</f>
        <v>3.6830000000000003</v>
      </c>
      <c r="CC12" s="16">
        <f>'Data For Analysis'!CC12-'Data For Analysis'!CC11</f>
        <v>3.9330000000000003</v>
      </c>
      <c r="CD12" s="16">
        <f>'Data For Analysis'!CD12-'Data For Analysis'!CD11</f>
        <v>0.46599999999999997</v>
      </c>
      <c r="CE12" s="16">
        <f>'Data For Analysis'!CE12-'Data For Analysis'!CE11</f>
        <v>1.0000000000000002</v>
      </c>
      <c r="CF12" s="16">
        <f>'Data For Analysis'!CF12-'Data For Analysis'!CF11</f>
        <v>0.49999999999999978</v>
      </c>
      <c r="CG12" s="16">
        <f>'Data For Analysis'!CG12-'Data For Analysis'!CG11</f>
        <v>0.86599999999999966</v>
      </c>
      <c r="CH12" s="16">
        <f>'Data For Analysis'!CH12-'Data For Analysis'!CH11</f>
        <v>0.64999999999999991</v>
      </c>
      <c r="CI12" s="16">
        <f>'Data For Analysis'!CI12-'Data For Analysis'!CI11</f>
        <v>1.1000000000000001</v>
      </c>
      <c r="CJ12" s="16">
        <f>'Data For Analysis'!CJ12-'Data For Analysis'!CJ11</f>
        <v>0.31700000000000017</v>
      </c>
      <c r="CK12" s="16">
        <f>'Data For Analysis'!CK12-'Data For Analysis'!CK11</f>
        <v>0.63300000000000001</v>
      </c>
      <c r="CL12" s="16">
        <f>'Data For Analysis'!CL12-'Data For Analysis'!CL11</f>
        <v>0.32899999999999996</v>
      </c>
      <c r="CM12" s="16">
        <f>'Data For Analysis'!CM12-'Data For Analysis'!CM11</f>
        <v>0.34999999999999987</v>
      </c>
      <c r="CN12" s="16"/>
      <c r="CO12" s="16"/>
      <c r="CP12" s="16"/>
      <c r="CQ12" s="16"/>
      <c r="CR12" s="16"/>
      <c r="CS12" s="16"/>
      <c r="CT12" s="16"/>
    </row>
    <row r="13" spans="1:98" x14ac:dyDescent="0.25">
      <c r="A13" s="345"/>
      <c r="B13" s="1" t="str">
        <f>'Data For Analysis'!B13</f>
        <v>2.e.</v>
      </c>
      <c r="C13" s="6" t="str">
        <f>'Data For Analysis'!C13</f>
        <v>Indirect</v>
      </c>
      <c r="D13" s="16">
        <f>'Data For Analysis'!D13-'Data For Analysis'!D12</f>
        <v>0.3833333333333333</v>
      </c>
      <c r="E13" s="16">
        <f>'Data For Analysis'!E13-'Data For Analysis'!E12</f>
        <v>1.5500000000000003</v>
      </c>
      <c r="F13" s="16">
        <f>'Data For Analysis'!F13-'Data For Analysis'!F12</f>
        <v>1.6833333333333336</v>
      </c>
      <c r="G13" s="16">
        <f>'Data For Analysis'!G13-'Data For Analysis'!G12</f>
        <v>1.0660000000000001</v>
      </c>
      <c r="H13" s="16">
        <f>'Data For Analysis'!H13-'Data For Analysis'!H12</f>
        <v>0.75</v>
      </c>
      <c r="I13" s="16">
        <f>'Data For Analysis'!I13-'Data For Analysis'!I12</f>
        <v>1.1833333333333331</v>
      </c>
      <c r="J13" s="16">
        <f>'Data For Analysis'!J13-'Data For Analysis'!J12</f>
        <v>1.2333333333333329</v>
      </c>
      <c r="K13" s="16">
        <f>'Data For Analysis'!K13-'Data For Analysis'!K12</f>
        <v>0</v>
      </c>
      <c r="L13" s="16">
        <f>'Data For Analysis'!L13-'Data For Analysis'!L12</f>
        <v>0.59650000000000003</v>
      </c>
      <c r="M13" s="16">
        <f>'Data For Analysis'!M13-'Data For Analysis'!M12</f>
        <v>2.4329999999999998</v>
      </c>
      <c r="N13" s="16">
        <f>'Data For Analysis'!N13-'Data For Analysis'!N12</f>
        <v>1.3160000000000007</v>
      </c>
      <c r="O13" s="16">
        <f>'Data For Analysis'!O13-'Data For Analysis'!O12</f>
        <v>0.16699999999999982</v>
      </c>
      <c r="P13" s="16">
        <f>'Data For Analysis'!P13-'Data For Analysis'!P12</f>
        <v>0.64999999999999991</v>
      </c>
      <c r="Q13" s="16">
        <f>'Data For Analysis'!Q13-'Data For Analysis'!Q12</f>
        <v>0.5</v>
      </c>
      <c r="R13" s="16">
        <f>'Data For Analysis'!R13-'Data For Analysis'!R12</f>
        <v>0.96599999999999997</v>
      </c>
      <c r="S13" s="16">
        <f>'Data For Analysis'!S13-'Data For Analysis'!S12</f>
        <v>0.36999999999999988</v>
      </c>
      <c r="T13" s="16">
        <f>'Data For Analysis'!T13-'Data For Analysis'!T12</f>
        <v>1.0830000000000002</v>
      </c>
      <c r="U13" s="16">
        <f>'Data For Analysis'!U13-'Data For Analysis'!U12</f>
        <v>1.2830000000000004</v>
      </c>
      <c r="V13" s="16">
        <f>'Data For Analysis'!V13-'Data For Analysis'!V12</f>
        <v>2.3840000000000003</v>
      </c>
      <c r="W13" s="16">
        <f>'Data For Analysis'!W13-'Data For Analysis'!W12</f>
        <v>0</v>
      </c>
      <c r="X13" s="16">
        <f>'Data For Analysis'!X13-'Data For Analysis'!X12</f>
        <v>0</v>
      </c>
      <c r="Y13" s="16">
        <f>'Data For Analysis'!Y13-'Data For Analysis'!Y12</f>
        <v>1.383</v>
      </c>
      <c r="Z13" s="16">
        <f>'Data For Analysis'!Z13-'Data For Analysis'!Z12</f>
        <v>0.74199999999999977</v>
      </c>
      <c r="AA13" s="16">
        <f>'Data For Analysis'!AA13-'Data For Analysis'!AA12</f>
        <v>0.41700000000000004</v>
      </c>
      <c r="AB13" s="16">
        <f>'Data For Analysis'!AB13-'Data For Analysis'!AB12</f>
        <v>0.66700000000000026</v>
      </c>
      <c r="AC13" s="16">
        <f>'Data For Analysis'!AC13-'Data For Analysis'!AC12</f>
        <v>0.70300000000000007</v>
      </c>
      <c r="AD13" s="16">
        <f>'Data For Analysis'!AD13-'Data For Analysis'!AD12</f>
        <v>0.32300000000000018</v>
      </c>
      <c r="AE13" s="16">
        <f>'Data For Analysis'!AE13-'Data For Analysis'!AE12</f>
        <v>1.5209999999999999</v>
      </c>
      <c r="AF13" s="16">
        <f>'Data For Analysis'!AF13-'Data For Analysis'!AF12</f>
        <v>0.46700000000000008</v>
      </c>
      <c r="AG13" s="16">
        <f>'Data For Analysis'!AG13-'Data For Analysis'!AG12</f>
        <v>1.6502999999999997</v>
      </c>
      <c r="AH13" s="16">
        <f>'Data For Analysis'!AH13-'Data For Analysis'!AH12</f>
        <v>0.33299999999999996</v>
      </c>
      <c r="AI13" s="16">
        <f>'Data For Analysis'!AI13-'Data For Analysis'!AI12</f>
        <v>1.7496999999999998</v>
      </c>
      <c r="AJ13" s="16">
        <f>'Data For Analysis'!AJ13-'Data For Analysis'!AJ12</f>
        <v>0.83300000000000018</v>
      </c>
      <c r="AK13" s="16">
        <f>'Data For Analysis'!AK13-'Data For Analysis'!AK12</f>
        <v>0.25</v>
      </c>
      <c r="AL13" s="16">
        <f>'Data For Analysis'!AL13-'Data For Analysis'!AL12</f>
        <v>0.73300000000000054</v>
      </c>
      <c r="AM13" s="16">
        <f>'Data For Analysis'!AM13-'Data For Analysis'!AM12</f>
        <v>0.11699999999999999</v>
      </c>
      <c r="AN13" s="16">
        <f>'Data For Analysis'!AN13-'Data For Analysis'!AN12</f>
        <v>0.73300000000000054</v>
      </c>
      <c r="AO13" s="16">
        <f>'Data For Analysis'!AO13-'Data For Analysis'!AO12</f>
        <v>1.3499999999999996</v>
      </c>
      <c r="AP13" s="16">
        <f>'Data For Analysis'!AP13-'Data For Analysis'!AP12</f>
        <v>0.78300000000000014</v>
      </c>
      <c r="AQ13" s="16">
        <f>'Data For Analysis'!AQ13-'Data For Analysis'!AQ12</f>
        <v>2.4159999999999999</v>
      </c>
      <c r="AR13" s="16">
        <f>'Data For Analysis'!AR13-'Data For Analysis'!AR12</f>
        <v>0.83400000000000007</v>
      </c>
      <c r="AS13" s="16">
        <f>'Data For Analysis'!AS13-'Data For Analysis'!AS12</f>
        <v>0.82129999999999992</v>
      </c>
      <c r="AT13" s="16">
        <f>'Data For Analysis'!AT13-'Data For Analysis'!AT12</f>
        <v>0.5</v>
      </c>
      <c r="AU13" s="16">
        <f>'Data For Analysis'!AU13-'Data For Analysis'!AU12</f>
        <v>0.6339999999999999</v>
      </c>
      <c r="AV13" s="16">
        <f>'Data For Analysis'!AV13-'Data For Analysis'!AV12</f>
        <v>4.1256999999999993</v>
      </c>
      <c r="AW13" s="16">
        <f>'Data For Analysis'!AW13-'Data For Analysis'!AW12</f>
        <v>0.49999999999999978</v>
      </c>
      <c r="AX13" s="16">
        <f>'Data For Analysis'!AX13-'Data For Analysis'!AX12</f>
        <v>1.25</v>
      </c>
      <c r="AY13" s="16">
        <f>'Data For Analysis'!AY13-'Data For Analysis'!AY12</f>
        <v>1.9999999999999996</v>
      </c>
      <c r="AZ13" s="16">
        <f>'Data For Analysis'!AZ13-'Data For Analysis'!AZ12</f>
        <v>0.53299999999999992</v>
      </c>
      <c r="BA13" s="16">
        <f>'Data For Analysis'!BA13-'Data For Analysis'!BA12</f>
        <v>0.89999999999999991</v>
      </c>
      <c r="BB13" s="16">
        <f>'Data For Analysis'!BB13-'Data For Analysis'!BB12</f>
        <v>0.2497000000000007</v>
      </c>
      <c r="BC13" s="16">
        <f>'Data For Analysis'!BC13-'Data For Analysis'!BC12</f>
        <v>1.484</v>
      </c>
      <c r="BD13" s="16">
        <f>'Data For Analysis'!BD13-'Data For Analysis'!BD12</f>
        <v>0.5169999999999999</v>
      </c>
      <c r="BE13" s="16">
        <f>'Data For Analysis'!BE13-'Data For Analysis'!BE12</f>
        <v>0.33399999999999963</v>
      </c>
      <c r="BF13" s="16">
        <f>'Data For Analysis'!BF13-'Data For Analysis'!BF12</f>
        <v>0.66699999999999982</v>
      </c>
      <c r="BG13" s="16">
        <f>'Data For Analysis'!BG13-'Data For Analysis'!BG12</f>
        <v>0.55100000000000016</v>
      </c>
      <c r="BH13" s="16">
        <f>'Data For Analysis'!BH13-'Data For Analysis'!BH12</f>
        <v>1.1999999999999997</v>
      </c>
      <c r="BI13" s="16">
        <f>'Data For Analysis'!BI13-'Data For Analysis'!BI12</f>
        <v>1.0625</v>
      </c>
      <c r="BJ13" s="16">
        <f>'Data For Analysis'!BJ13-'Data For Analysis'!BJ12</f>
        <v>0.13400000000000012</v>
      </c>
      <c r="BK13" s="16">
        <f>'Data For Analysis'!BK13-'Data For Analysis'!BK12</f>
        <v>0.28300000000000014</v>
      </c>
      <c r="BL13" s="16">
        <f>'Data For Analysis'!BL13-'Data For Analysis'!BL12</f>
        <v>0.11499999999999977</v>
      </c>
      <c r="BM13" s="16">
        <f>'Data For Analysis'!BM13-'Data For Analysis'!BM12</f>
        <v>1.0340000000000003</v>
      </c>
      <c r="BN13" s="16">
        <f>'Data For Analysis'!BN13-'Data For Analysis'!BN12</f>
        <v>2.4500000000000002</v>
      </c>
      <c r="BO13" s="16">
        <f>'Data For Analysis'!BO13-'Data For Analysis'!BO12</f>
        <v>1.1329999999999996</v>
      </c>
      <c r="BP13" s="16">
        <f>'Data For Analysis'!BP13-'Data For Analysis'!BP12</f>
        <v>1.96</v>
      </c>
      <c r="BQ13" s="16">
        <f>'Data For Analysis'!BQ13-'Data For Analysis'!BQ12</f>
        <v>0.58299999999999996</v>
      </c>
      <c r="BR13" s="16">
        <f>'Data For Analysis'!BR13-'Data For Analysis'!BR12</f>
        <v>0.56699999999999995</v>
      </c>
      <c r="BS13" s="16">
        <f>'Data For Analysis'!BS13-'Data For Analysis'!BS12</f>
        <v>0.81299999999999972</v>
      </c>
      <c r="BT13" s="16">
        <f>'Data For Analysis'!BT13-'Data For Analysis'!BT12</f>
        <v>0</v>
      </c>
      <c r="BU13" s="16">
        <f>'Data For Analysis'!BU13-'Data For Analysis'!BU12</f>
        <v>0.68400000000000016</v>
      </c>
      <c r="BV13" s="16">
        <f>'Data For Analysis'!BV13-'Data For Analysis'!BV12</f>
        <v>0</v>
      </c>
      <c r="BW13" s="16">
        <f>'Data For Analysis'!BW13-'Data For Analysis'!BW12</f>
        <v>8.3000000000000185E-2</v>
      </c>
      <c r="BX13" s="16">
        <f>'Data For Analysis'!BX13-'Data For Analysis'!BX12</f>
        <v>1.3159999999999998</v>
      </c>
      <c r="BY13" s="16">
        <f>'Data For Analysis'!BY13-'Data For Analysis'!BY12</f>
        <v>0.75</v>
      </c>
      <c r="BZ13" s="16">
        <f>'Data For Analysis'!BZ13-'Data For Analysis'!BZ12</f>
        <v>2.984</v>
      </c>
      <c r="CA13" s="16">
        <f>'Data For Analysis'!CA13-'Data For Analysis'!CA12</f>
        <v>0.75</v>
      </c>
      <c r="CB13" s="16">
        <f>'Data For Analysis'!CB13-'Data For Analysis'!CB12</f>
        <v>1.7829999999999995</v>
      </c>
      <c r="CC13" s="16">
        <f>'Data For Analysis'!CC13-'Data For Analysis'!CC12</f>
        <v>0.73299999999999965</v>
      </c>
      <c r="CD13" s="16">
        <f>'Data For Analysis'!CD13-'Data For Analysis'!CD12</f>
        <v>0.61699999999999999</v>
      </c>
      <c r="CE13" s="16">
        <f>'Data For Analysis'!CE13-'Data For Analysis'!CE12</f>
        <v>1.0665999999999998</v>
      </c>
      <c r="CF13" s="16">
        <f>'Data For Analysis'!CF13-'Data For Analysis'!CF12</f>
        <v>0.88300000000000001</v>
      </c>
      <c r="CG13" s="16">
        <f>'Data For Analysis'!CG13-'Data For Analysis'!CG12</f>
        <v>0.76700000000000035</v>
      </c>
      <c r="CH13" s="16">
        <f>'Data For Analysis'!CH13-'Data For Analysis'!CH12</f>
        <v>0.26629999999999976</v>
      </c>
      <c r="CI13" s="16">
        <f>'Data For Analysis'!CI13-'Data For Analysis'!CI12</f>
        <v>0.5</v>
      </c>
      <c r="CJ13" s="16">
        <f>'Data For Analysis'!CJ13-'Data For Analysis'!CJ12</f>
        <v>0.54999999999999982</v>
      </c>
      <c r="CK13" s="16">
        <f>'Data For Analysis'!CK13-'Data For Analysis'!CK12</f>
        <v>0.16700000000000004</v>
      </c>
      <c r="CL13" s="16">
        <f>'Data For Analysis'!CL13-'Data For Analysis'!CL12</f>
        <v>0.31600000000000006</v>
      </c>
      <c r="CM13" s="16">
        <f>'Data For Analysis'!CM13-'Data For Analysis'!CM12</f>
        <v>0.60000000000000009</v>
      </c>
      <c r="CN13" s="16"/>
      <c r="CO13" s="16"/>
      <c r="CP13" s="16"/>
      <c r="CQ13" s="16"/>
      <c r="CR13" s="16"/>
      <c r="CS13" s="16"/>
      <c r="CT13" s="16"/>
    </row>
    <row r="14" spans="1:98" x14ac:dyDescent="0.25">
      <c r="A14" s="345"/>
      <c r="B14" s="1" t="str">
        <f>'Data For Analysis'!B14</f>
        <v>2.f.</v>
      </c>
      <c r="C14" s="6" t="str">
        <f>'Data For Analysis'!C14</f>
        <v>Indirect</v>
      </c>
      <c r="D14" s="16">
        <f>'Data For Analysis'!D14-'Data For Analysis'!D13</f>
        <v>0</v>
      </c>
      <c r="E14" s="16">
        <f>'Data For Analysis'!E14-'Data For Analysis'!E13</f>
        <v>0.38399999999999945</v>
      </c>
      <c r="F14" s="16">
        <f>'Data For Analysis'!F14-'Data For Analysis'!F13</f>
        <v>1.25</v>
      </c>
      <c r="G14" s="16">
        <f>'Data For Analysis'!G14-'Data For Analysis'!G13</f>
        <v>1.7669999999999999</v>
      </c>
      <c r="H14" s="16">
        <f>'Data For Analysis'!H14-'Data For Analysis'!H13</f>
        <v>0.24999999999999978</v>
      </c>
      <c r="I14" s="16">
        <f>'Data For Analysis'!I14-'Data For Analysis'!I13</f>
        <v>0.76666666666666661</v>
      </c>
      <c r="J14" s="16">
        <f>'Data For Analysis'!J14-'Data For Analysis'!J13</f>
        <v>0.85000000000000053</v>
      </c>
      <c r="K14" s="16">
        <f>'Data For Analysis'!K14-'Data For Analysis'!K13</f>
        <v>1.4</v>
      </c>
      <c r="L14" s="16">
        <f>'Data For Analysis'!L14-'Data For Analysis'!L13</f>
        <v>1.4348000000000001</v>
      </c>
      <c r="M14" s="16">
        <f>'Data For Analysis'!M14-'Data For Analysis'!M13</f>
        <v>0.5</v>
      </c>
      <c r="N14" s="16">
        <f>'Data For Analysis'!N14-'Data For Analysis'!N13</f>
        <v>0.33399999999999963</v>
      </c>
      <c r="O14" s="16">
        <f>'Data For Analysis'!O14-'Data For Analysis'!O13</f>
        <v>1.1669999999999998</v>
      </c>
      <c r="P14" s="16">
        <f>'Data For Analysis'!P14-'Data For Analysis'!P13</f>
        <v>1.0499999999999998</v>
      </c>
      <c r="Q14" s="16">
        <f>'Data For Analysis'!Q14-'Data For Analysis'!Q13</f>
        <v>1.9663000000000004</v>
      </c>
      <c r="R14" s="16">
        <f>'Data For Analysis'!R14-'Data For Analysis'!R13</f>
        <v>0.45000000000000018</v>
      </c>
      <c r="S14" s="16">
        <f>'Data For Analysis'!S14-'Data For Analysis'!S13</f>
        <v>0.49400000000000022</v>
      </c>
      <c r="T14" s="16">
        <f>'Data For Analysis'!T14-'Data For Analysis'!T13</f>
        <v>0.20000000000000018</v>
      </c>
      <c r="U14" s="16">
        <f>'Data For Analysis'!U14-'Data For Analysis'!U13</f>
        <v>0.54999999999999982</v>
      </c>
      <c r="V14" s="16">
        <f>'Data For Analysis'!V14-'Data For Analysis'!V13</f>
        <v>1.0499999999999989</v>
      </c>
      <c r="W14" s="16">
        <f>'Data For Analysis'!W14-'Data For Analysis'!W13</f>
        <v>0</v>
      </c>
      <c r="X14" s="16">
        <f>'Data For Analysis'!X14-'Data For Analysis'!X13</f>
        <v>1.583</v>
      </c>
      <c r="Y14" s="16">
        <f>'Data For Analysis'!Y14-'Data For Analysis'!Y13</f>
        <v>0.1339999999999999</v>
      </c>
      <c r="Z14" s="16">
        <f>'Data For Analysis'!Z14-'Data For Analysis'!Z13</f>
        <v>1.6000000000000005</v>
      </c>
      <c r="AA14" s="16">
        <f>'Data For Analysis'!AA14-'Data For Analysis'!AA13</f>
        <v>0.75</v>
      </c>
      <c r="AB14" s="16">
        <f>'Data For Analysis'!AB14-'Data For Analysis'!AB13</f>
        <v>0.5</v>
      </c>
      <c r="AC14" s="16">
        <f>'Data For Analysis'!AC14-'Data For Analysis'!AC13</f>
        <v>0.91449999999999987</v>
      </c>
      <c r="AD14" s="16">
        <f>'Data For Analysis'!AD14-'Data For Analysis'!AD13</f>
        <v>0.31599999999999984</v>
      </c>
      <c r="AE14" s="16">
        <f>'Data For Analysis'!AE14-'Data For Analysis'!AE13</f>
        <v>0</v>
      </c>
      <c r="AF14" s="16">
        <f>'Data For Analysis'!AF14-'Data For Analysis'!AF13</f>
        <v>0.98329999999999984</v>
      </c>
      <c r="AG14" s="16">
        <f>'Data For Analysis'!AG14-'Data For Analysis'!AG13</f>
        <v>2.7330000000000005</v>
      </c>
      <c r="AH14" s="16">
        <f>'Data For Analysis'!AH14-'Data For Analysis'!AH13</f>
        <v>0.5</v>
      </c>
      <c r="AI14" s="16">
        <f>'Data For Analysis'!AI14-'Data For Analysis'!AI13</f>
        <v>0.23329999999999984</v>
      </c>
      <c r="AJ14" s="16">
        <f>'Data For Analysis'!AJ14-'Data For Analysis'!AJ13</f>
        <v>2.117</v>
      </c>
      <c r="AK14" s="16">
        <f>'Data For Analysis'!AK14-'Data For Analysis'!AK13</f>
        <v>2.0830000000000002</v>
      </c>
      <c r="AL14" s="16">
        <f>'Data For Analysis'!AL14-'Data For Analysis'!AL13</f>
        <v>0.76699999999999946</v>
      </c>
      <c r="AM14" s="16">
        <f>'Data For Analysis'!AM14-'Data For Analysis'!AM13</f>
        <v>0.66599999999999993</v>
      </c>
      <c r="AN14" s="16">
        <f>'Data For Analysis'!AN14-'Data For Analysis'!AN13</f>
        <v>0.41699999999999982</v>
      </c>
      <c r="AO14" s="16">
        <f>'Data For Analysis'!AO14-'Data For Analysis'!AO13</f>
        <v>1.4830000000000005</v>
      </c>
      <c r="AP14" s="16">
        <f>'Data For Analysis'!AP14-'Data For Analysis'!AP13</f>
        <v>0.89999999999999991</v>
      </c>
      <c r="AQ14" s="16">
        <f>'Data For Analysis'!AQ14-'Data For Analysis'!AQ13</f>
        <v>0.5</v>
      </c>
      <c r="AR14" s="16">
        <f>'Data For Analysis'!AR14-'Data For Analysis'!AR13</f>
        <v>0.96599999999999975</v>
      </c>
      <c r="AS14" s="16">
        <f>'Data For Analysis'!AS14-'Data For Analysis'!AS13</f>
        <v>0.17370000000000019</v>
      </c>
      <c r="AT14" s="16">
        <f>'Data For Analysis'!AT14-'Data For Analysis'!AT13</f>
        <v>0.86670000000000025</v>
      </c>
      <c r="AU14" s="16">
        <f>'Data For Analysis'!AU14-'Data For Analysis'!AU13</f>
        <v>2.266</v>
      </c>
      <c r="AV14" s="16">
        <f>'Data For Analysis'!AV14-'Data For Analysis'!AV13</f>
        <v>5.0186000000000011</v>
      </c>
      <c r="AW14" s="16">
        <f>'Data For Analysis'!AW14-'Data For Analysis'!AW13</f>
        <v>3.0830000000000002</v>
      </c>
      <c r="AX14" s="16">
        <f>'Data For Analysis'!AX14-'Data For Analysis'!AX13</f>
        <v>0</v>
      </c>
      <c r="AY14" s="16">
        <f>'Data For Analysis'!AY14-'Data For Analysis'!AY13</f>
        <v>3.0000000000000009</v>
      </c>
      <c r="AZ14" s="16">
        <f>'Data For Analysis'!AZ14-'Data For Analysis'!AZ13</f>
        <v>0.50000000000000022</v>
      </c>
      <c r="BA14" s="16">
        <f>'Data For Analysis'!BA14-'Data For Analysis'!BA13</f>
        <v>1.1000000000000005</v>
      </c>
      <c r="BB14" s="16">
        <f>'Data For Analysis'!BB14-'Data For Analysis'!BB13</f>
        <v>0.26699999999999946</v>
      </c>
      <c r="BC14" s="16">
        <f>'Data For Analysis'!BC14-'Data For Analysis'!BC13</f>
        <v>0.69999999999999973</v>
      </c>
      <c r="BD14" s="16">
        <f>'Data For Analysis'!BD14-'Data For Analysis'!BD13</f>
        <v>1.2667000000000002</v>
      </c>
      <c r="BE14" s="16">
        <f>'Data For Analysis'!BE14-'Data For Analysis'!BE13</f>
        <v>1.75</v>
      </c>
      <c r="BF14" s="16">
        <f>'Data For Analysis'!BF14-'Data For Analysis'!BF13</f>
        <v>0.91600000000000037</v>
      </c>
      <c r="BG14" s="16">
        <f>'Data For Analysis'!BG14-'Data For Analysis'!BG13</f>
        <v>0.84799999999999986</v>
      </c>
      <c r="BH14" s="16">
        <f>'Data For Analysis'!BH14-'Data For Analysis'!BH13</f>
        <v>0.44999999999999973</v>
      </c>
      <c r="BI14" s="16">
        <f>'Data For Analysis'!BI14-'Data For Analysis'!BI13</f>
        <v>3.9343000000000004</v>
      </c>
      <c r="BJ14" s="16">
        <f>'Data For Analysis'!BJ14-'Data For Analysis'!BJ13</f>
        <v>2.4159999999999999</v>
      </c>
      <c r="BK14" s="16">
        <f>'Data For Analysis'!BK14-'Data For Analysis'!BK13</f>
        <v>0.5</v>
      </c>
      <c r="BL14" s="16">
        <f>'Data For Analysis'!BL14-'Data For Analysis'!BL13</f>
        <v>0.73579999999999979</v>
      </c>
      <c r="BM14" s="16">
        <f>'Data For Analysis'!BM14-'Data For Analysis'!BM13</f>
        <v>0.71600000000000019</v>
      </c>
      <c r="BN14" s="16">
        <f>'Data For Analysis'!BN14-'Data For Analysis'!BN13</f>
        <v>1</v>
      </c>
      <c r="BO14" s="16">
        <f>'Data For Analysis'!BO14-'Data For Analysis'!BO13</f>
        <v>1.4000000000000004</v>
      </c>
      <c r="BP14" s="16">
        <f>'Data For Analysis'!BP14-'Data For Analysis'!BP13</f>
        <v>0.75450000000000017</v>
      </c>
      <c r="BQ14" s="16">
        <f>'Data For Analysis'!BQ14-'Data For Analysis'!BQ13</f>
        <v>0.83300000000000018</v>
      </c>
      <c r="BR14" s="16">
        <f>'Data For Analysis'!BR14-'Data For Analysis'!BR13</f>
        <v>0.91699999999999982</v>
      </c>
      <c r="BS14" s="16">
        <f>'Data For Analysis'!BS14-'Data For Analysis'!BS13</f>
        <v>0.12600000000000033</v>
      </c>
      <c r="BT14" s="16">
        <f>'Data For Analysis'!BT14-'Data For Analysis'!BT13</f>
        <v>0</v>
      </c>
      <c r="BU14" s="16">
        <f>'Data For Analysis'!BU14-'Data For Analysis'!BU13</f>
        <v>1.383</v>
      </c>
      <c r="BV14" s="16">
        <f>'Data For Analysis'!BV14-'Data For Analysis'!BV13</f>
        <v>0</v>
      </c>
      <c r="BW14" s="16">
        <f>'Data For Analysis'!BW14-'Data For Analysis'!BW13</f>
        <v>2.2339999999999995</v>
      </c>
      <c r="BX14" s="16">
        <f>'Data For Analysis'!BX14-'Data For Analysis'!BX13</f>
        <v>0.31700000000000017</v>
      </c>
      <c r="BY14" s="16">
        <f>'Data For Analysis'!BY14-'Data For Analysis'!BY13</f>
        <v>0.36699999999999999</v>
      </c>
      <c r="BZ14" s="16">
        <f>'Data For Analysis'!BZ14-'Data For Analysis'!BZ13</f>
        <v>2.016</v>
      </c>
      <c r="CA14" s="16">
        <f>'Data For Analysis'!CA14-'Data For Analysis'!CA13</f>
        <v>0.45000000000000018</v>
      </c>
      <c r="CB14" s="16">
        <f>'Data For Analysis'!CB14-'Data For Analysis'!CB13</f>
        <v>0.19999999999999929</v>
      </c>
      <c r="CC14" s="16">
        <f>'Data For Analysis'!CC14-'Data For Analysis'!CC13</f>
        <v>0.76700000000000035</v>
      </c>
      <c r="CD14" s="16">
        <f>'Data For Analysis'!CD14-'Data For Analysis'!CD13</f>
        <v>0.58300000000000018</v>
      </c>
      <c r="CE14" s="16">
        <f>'Data For Analysis'!CE14-'Data For Analysis'!CE13</f>
        <v>0.49970000000000026</v>
      </c>
      <c r="CF14" s="16">
        <f>'Data For Analysis'!CF14-'Data For Analysis'!CF13</f>
        <v>0.38300000000000001</v>
      </c>
      <c r="CG14" s="16">
        <f>'Data For Analysis'!CG14-'Data For Analysis'!CG13</f>
        <v>1.0499999999999998</v>
      </c>
      <c r="CH14" s="16">
        <f>'Data For Analysis'!CH14-'Data For Analysis'!CH13</f>
        <v>1.5997000000000003</v>
      </c>
      <c r="CI14" s="16">
        <f>'Data For Analysis'!CI14-'Data For Analysis'!CI13</f>
        <v>1</v>
      </c>
      <c r="CJ14" s="16">
        <f>'Data For Analysis'!CJ14-'Data For Analysis'!CJ13</f>
        <v>0.7330000000000001</v>
      </c>
      <c r="CK14" s="16">
        <f>'Data For Analysis'!CK14-'Data For Analysis'!CK13</f>
        <v>1.117</v>
      </c>
      <c r="CL14" s="16">
        <f>'Data For Analysis'!CL14-'Data For Analysis'!CL13</f>
        <v>0.46799999999999997</v>
      </c>
      <c r="CM14" s="16">
        <f>'Data For Analysis'!CM14-'Data For Analysis'!CM13</f>
        <v>0.16699999999999982</v>
      </c>
      <c r="CN14" s="16"/>
      <c r="CO14" s="16"/>
      <c r="CP14" s="16"/>
      <c r="CQ14" s="16"/>
      <c r="CR14" s="16"/>
      <c r="CS14" s="16"/>
      <c r="CT14" s="16"/>
    </row>
    <row r="15" spans="1:98" x14ac:dyDescent="0.25">
      <c r="A15" s="345"/>
      <c r="B15" s="1" t="str">
        <f>'Data For Analysis'!B15</f>
        <v>2.g.</v>
      </c>
      <c r="C15" s="6" t="str">
        <f>'Data For Analysis'!C15</f>
        <v>Indirect</v>
      </c>
      <c r="D15" s="16">
        <f>'Data For Analysis'!D15-'Data For Analysis'!D14</f>
        <v>0</v>
      </c>
      <c r="E15" s="16">
        <f>'Data For Analysis'!E15-'Data For Analysis'!E14</f>
        <v>0.90000000000000036</v>
      </c>
      <c r="F15" s="16">
        <f>'Data For Analysis'!F15-'Data For Analysis'!F14</f>
        <v>9.1333333333333329</v>
      </c>
      <c r="G15" s="16">
        <f>'Data For Analysis'!G15-'Data For Analysis'!G14</f>
        <v>1.9669999999999996</v>
      </c>
      <c r="H15" s="16">
        <f>'Data For Analysis'!H15-'Data For Analysis'!H14</f>
        <v>0.5</v>
      </c>
      <c r="I15" s="16">
        <f>'Data For Analysis'!I15-'Data For Analysis'!I14</f>
        <v>0.15000000000000036</v>
      </c>
      <c r="J15" s="16">
        <f>'Data For Analysis'!J15-'Data For Analysis'!J14</f>
        <v>2.2333333333333334</v>
      </c>
      <c r="K15" s="16">
        <f>'Data For Analysis'!K15-'Data For Analysis'!K14</f>
        <v>0.39999999999999991</v>
      </c>
      <c r="L15" s="16">
        <f>'Data For Analysis'!L15-'Data For Analysis'!L14</f>
        <v>0</v>
      </c>
      <c r="M15" s="16">
        <f>'Data For Analysis'!M15-'Data For Analysis'!M14</f>
        <v>1.2829999999999995</v>
      </c>
      <c r="N15" s="16">
        <f>'Data For Analysis'!N15-'Data For Analysis'!N14</f>
        <v>6.8999999999999986</v>
      </c>
      <c r="O15" s="16">
        <f>'Data For Analysis'!O15-'Data For Analysis'!O14</f>
        <v>0.25</v>
      </c>
      <c r="P15" s="16">
        <f>'Data For Analysis'!P15-'Data For Analysis'!P14</f>
        <v>3.3000000000000362E-2</v>
      </c>
      <c r="Q15" s="16">
        <f>'Data For Analysis'!Q15-'Data For Analysis'!Q14</f>
        <v>1.4836999999999998</v>
      </c>
      <c r="R15" s="16">
        <f>'Data For Analysis'!R15-'Data For Analysis'!R14</f>
        <v>0</v>
      </c>
      <c r="S15" s="16">
        <f>'Data For Analysis'!S15-'Data For Analysis'!S14</f>
        <v>0</v>
      </c>
      <c r="T15" s="16">
        <f>'Data For Analysis'!T15-'Data For Analysis'!T14</f>
        <v>0.76699999999999946</v>
      </c>
      <c r="U15" s="16">
        <f>'Data For Analysis'!U15-'Data For Analysis'!U14</f>
        <v>3.3</v>
      </c>
      <c r="V15" s="16">
        <f>'Data For Analysis'!V15-'Data For Analysis'!V14</f>
        <v>2.9500000000000011</v>
      </c>
      <c r="W15" s="16">
        <f>'Data For Analysis'!W15-'Data For Analysis'!W14</f>
        <v>0</v>
      </c>
      <c r="X15" s="16">
        <f>'Data For Analysis'!X15-'Data For Analysis'!X14</f>
        <v>0</v>
      </c>
      <c r="Y15" s="16">
        <f>'Data For Analysis'!Y15-'Data For Analysis'!Y14</f>
        <v>0.66599999999999993</v>
      </c>
      <c r="Z15" s="16">
        <f>'Data For Analysis'!Z15-'Data For Analysis'!Z14</f>
        <v>0</v>
      </c>
      <c r="AA15" s="16">
        <f>'Data For Analysis'!AA15-'Data For Analysis'!AA14</f>
        <v>0.51670000000000016</v>
      </c>
      <c r="AB15" s="16">
        <f>'Data For Analysis'!AB15-'Data For Analysis'!AB14</f>
        <v>0.21629999999999949</v>
      </c>
      <c r="AC15" s="16">
        <f>'Data For Analysis'!AC15-'Data For Analysis'!AC14</f>
        <v>0</v>
      </c>
      <c r="AD15" s="16">
        <f>'Data For Analysis'!AD15-'Data For Analysis'!AD14</f>
        <v>0</v>
      </c>
      <c r="AE15" s="16">
        <f>'Data For Analysis'!AE15-'Data For Analysis'!AE14</f>
        <v>0</v>
      </c>
      <c r="AF15" s="16">
        <f>'Data For Analysis'!AF15-'Data For Analysis'!AF14</f>
        <v>0</v>
      </c>
      <c r="AG15" s="16">
        <f>'Data For Analysis'!AG15-'Data For Analysis'!AG14</f>
        <v>3.25</v>
      </c>
      <c r="AH15" s="16">
        <f>'Data For Analysis'!AH15-'Data For Analysis'!AH14</f>
        <v>0</v>
      </c>
      <c r="AI15" s="16">
        <f>'Data For Analysis'!AI15-'Data For Analysis'!AI14</f>
        <v>2.3329999999999993</v>
      </c>
      <c r="AJ15" s="16">
        <f>'Data For Analysis'!AJ15-'Data For Analysis'!AJ14</f>
        <v>0</v>
      </c>
      <c r="AK15" s="16">
        <f>'Data For Analysis'!AK15-'Data For Analysis'!AK14</f>
        <v>2.5</v>
      </c>
      <c r="AL15" s="16">
        <f>'Data For Analysis'!AL15-'Data For Analysis'!AL14</f>
        <v>0</v>
      </c>
      <c r="AM15" s="16">
        <f>'Data For Analysis'!AM15-'Data For Analysis'!AM14</f>
        <v>5.0000000000000266E-2</v>
      </c>
      <c r="AN15" s="16">
        <f>'Data For Analysis'!AN15-'Data For Analysis'!AN14</f>
        <v>0</v>
      </c>
      <c r="AO15" s="16">
        <f>'Data For Analysis'!AO15-'Data For Analysis'!AO14</f>
        <v>0</v>
      </c>
      <c r="AP15" s="16">
        <f>'Data For Analysis'!AP15-'Data For Analysis'!AP14</f>
        <v>0</v>
      </c>
      <c r="AQ15" s="16">
        <f>'Data For Analysis'!AQ15-'Data For Analysis'!AQ14</f>
        <v>0</v>
      </c>
      <c r="AR15" s="16">
        <f>'Data For Analysis'!AR15-'Data For Analysis'!AR14</f>
        <v>0</v>
      </c>
      <c r="AS15" s="16">
        <f>'Data For Analysis'!AS15-'Data For Analysis'!AS14</f>
        <v>0</v>
      </c>
      <c r="AT15" s="16">
        <f>'Data For Analysis'!AT15-'Data For Analysis'!AT14</f>
        <v>2.4333</v>
      </c>
      <c r="AU15" s="16">
        <f>'Data For Analysis'!AU15-'Data For Analysis'!AU14</f>
        <v>0</v>
      </c>
      <c r="AV15" s="16">
        <f>'Data For Analysis'!AV15-'Data For Analysis'!AV14</f>
        <v>0</v>
      </c>
      <c r="AW15" s="16">
        <f>'Data For Analysis'!AW15-'Data For Analysis'!AW14</f>
        <v>2.5</v>
      </c>
      <c r="AX15" s="16">
        <f>'Data For Analysis'!AX15-'Data For Analysis'!AX14</f>
        <v>0</v>
      </c>
      <c r="AY15" s="16">
        <f>'Data For Analysis'!AY15-'Data For Analysis'!AY14</f>
        <v>1</v>
      </c>
      <c r="AZ15" s="16">
        <f>'Data For Analysis'!AZ15-'Data For Analysis'!AZ14</f>
        <v>0</v>
      </c>
      <c r="BA15" s="16">
        <f>'Data For Analysis'!BA15-'Data For Analysis'!BA14</f>
        <v>0.28299999999999947</v>
      </c>
      <c r="BB15" s="16">
        <f>'Data For Analysis'!BB15-'Data For Analysis'!BB14</f>
        <v>0</v>
      </c>
      <c r="BC15" s="16">
        <f>'Data For Analysis'!BC15-'Data For Analysis'!BC14</f>
        <v>0</v>
      </c>
      <c r="BD15" s="16">
        <f>'Data For Analysis'!BD15-'Data For Analysis'!BD14</f>
        <v>0.6333000000000002</v>
      </c>
      <c r="BE15" s="16">
        <f>'Data For Analysis'!BE15-'Data For Analysis'!BE14</f>
        <v>0.25</v>
      </c>
      <c r="BF15" s="16">
        <f>'Data For Analysis'!BF15-'Data For Analysis'!BF14</f>
        <v>0.66699999999999982</v>
      </c>
      <c r="BG15" s="16">
        <f>'Data For Analysis'!BG15-'Data For Analysis'!BG14</f>
        <v>0</v>
      </c>
      <c r="BH15" s="16">
        <f>'Data For Analysis'!BH15-'Data For Analysis'!BH14</f>
        <v>0</v>
      </c>
      <c r="BI15" s="16">
        <f>'Data For Analysis'!BI15-'Data For Analysis'!BI14</f>
        <v>0</v>
      </c>
      <c r="BJ15" s="16">
        <f>'Data For Analysis'!BJ15-'Data For Analysis'!BJ14</f>
        <v>0</v>
      </c>
      <c r="BK15" s="16">
        <f>'Data For Analysis'!BK15-'Data For Analysis'!BK14</f>
        <v>0</v>
      </c>
      <c r="BL15" s="16">
        <f>'Data For Analysis'!BL15-'Data For Analysis'!BL14</f>
        <v>1.9414000000000007</v>
      </c>
      <c r="BM15" s="16">
        <f>'Data For Analysis'!BM15-'Data For Analysis'!BM14</f>
        <v>1.984</v>
      </c>
      <c r="BN15" s="16">
        <f>'Data For Analysis'!BN15-'Data For Analysis'!BN14</f>
        <v>2.9169999999999998</v>
      </c>
      <c r="BO15" s="16">
        <f>'Data For Analysis'!BO15-'Data For Analysis'!BO14</f>
        <v>2.75</v>
      </c>
      <c r="BP15" s="16">
        <f>'Data For Analysis'!BP15-'Data For Analysis'!BP14</f>
        <v>0.50450000000000017</v>
      </c>
      <c r="BQ15" s="16">
        <f>'Data For Analysis'!BQ15-'Data For Analysis'!BQ14</f>
        <v>0.16699999999999982</v>
      </c>
      <c r="BR15" s="16">
        <f>'Data For Analysis'!BR15-'Data For Analysis'!BR14</f>
        <v>0</v>
      </c>
      <c r="BS15" s="16">
        <f>'Data For Analysis'!BS15-'Data For Analysis'!BS14</f>
        <v>1.0269999999999997</v>
      </c>
      <c r="BT15" s="16">
        <f>'Data For Analysis'!BT15-'Data For Analysis'!BT14</f>
        <v>0</v>
      </c>
      <c r="BU15" s="16">
        <f>'Data For Analysis'!BU15-'Data For Analysis'!BU14</f>
        <v>0.75</v>
      </c>
      <c r="BV15" s="16">
        <f>'Data For Analysis'!BV15-'Data For Analysis'!BV14</f>
        <v>0</v>
      </c>
      <c r="BW15" s="16">
        <f>'Data For Analysis'!BW15-'Data For Analysis'!BW14</f>
        <v>3.8163000000000009</v>
      </c>
      <c r="BX15" s="16">
        <f>'Data For Analysis'!BX15-'Data For Analysis'!BX14</f>
        <v>1.4999999999999996</v>
      </c>
      <c r="BY15" s="16">
        <f>'Data For Analysis'!BY15-'Data For Analysis'!BY14</f>
        <v>0.58300000000000018</v>
      </c>
      <c r="BZ15" s="16">
        <f>'Data For Analysis'!BZ15-'Data For Analysis'!BZ14</f>
        <v>0</v>
      </c>
      <c r="CA15" s="16">
        <f>'Data For Analysis'!CA15-'Data For Analysis'!CA14</f>
        <v>9.9999999999999645E-2</v>
      </c>
      <c r="CB15" s="16">
        <f>'Data For Analysis'!CB15-'Data For Analysis'!CB14</f>
        <v>0</v>
      </c>
      <c r="CC15" s="16">
        <f>'Data For Analysis'!CC15-'Data For Analysis'!CC14</f>
        <v>0</v>
      </c>
      <c r="CD15" s="16">
        <f>'Data For Analysis'!CD15-'Data For Analysis'!CD14</f>
        <v>0.2669999999999999</v>
      </c>
      <c r="CE15" s="16">
        <f>'Data For Analysis'!CE15-'Data For Analysis'!CE14</f>
        <v>1.0999999999999996</v>
      </c>
      <c r="CF15" s="16">
        <f>'Data For Analysis'!CF15-'Data For Analysis'!CF14</f>
        <v>0.15000000000000036</v>
      </c>
      <c r="CG15" s="16">
        <f>'Data For Analysis'!CG15-'Data For Analysis'!CG14</f>
        <v>2.8000000000000007</v>
      </c>
      <c r="CH15" s="16">
        <f>'Data For Analysis'!CH15-'Data For Analysis'!CH14</f>
        <v>0</v>
      </c>
      <c r="CI15" s="16">
        <f>'Data For Analysis'!CI15-'Data For Analysis'!CI14</f>
        <v>0</v>
      </c>
      <c r="CJ15" s="16">
        <f>'Data For Analysis'!CJ15-'Data For Analysis'!CJ14</f>
        <v>4.5999999999999996</v>
      </c>
      <c r="CK15" s="16">
        <f>'Data For Analysis'!CK15-'Data For Analysis'!CK14</f>
        <v>1.3660000000000001</v>
      </c>
      <c r="CL15" s="16">
        <f>'Data For Analysis'!CL15-'Data For Analysis'!CL14</f>
        <v>0</v>
      </c>
      <c r="CM15" s="16">
        <f>'Data For Analysis'!CM15-'Data For Analysis'!CM14</f>
        <v>1.4330000000000003</v>
      </c>
      <c r="CN15" s="16"/>
      <c r="CO15" s="16"/>
      <c r="CP15" s="16"/>
      <c r="CQ15" s="16"/>
      <c r="CR15" s="16"/>
      <c r="CS15" s="16"/>
      <c r="CT15" s="16"/>
    </row>
    <row r="16" spans="1:98" x14ac:dyDescent="0.25">
      <c r="A16" s="345"/>
      <c r="B16" s="1" t="str">
        <f>'Data For Analysis'!B16</f>
        <v>3.b.</v>
      </c>
      <c r="C16" s="6" t="str">
        <f>'Data For Analysis'!C16</f>
        <v>Travel (Internal)</v>
      </c>
      <c r="D16" s="16">
        <f>'Data For Analysis'!D16</f>
        <v>4.7833333333333332</v>
      </c>
      <c r="E16" s="16">
        <f>'Data For Analysis'!E16</f>
        <v>0.41699999999999998</v>
      </c>
      <c r="F16" s="16">
        <f>'Data For Analysis'!F16</f>
        <v>0.25</v>
      </c>
      <c r="G16" s="16">
        <f>'Data For Analysis'!G16</f>
        <v>0.1</v>
      </c>
      <c r="H16" s="16">
        <f>'Data For Analysis'!H16</f>
        <v>0.16700000000000001</v>
      </c>
      <c r="I16" s="16">
        <f>'Data For Analysis'!I16</f>
        <v>0.5</v>
      </c>
      <c r="J16" s="16">
        <f>'Data For Analysis'!J16</f>
        <v>0.85</v>
      </c>
      <c r="K16" s="16">
        <f>'Data For Analysis'!K16</f>
        <v>0.46700000000000003</v>
      </c>
      <c r="L16" s="16">
        <f>'Data For Analysis'!L16</f>
        <v>0.12</v>
      </c>
      <c r="M16" s="16">
        <f>'Data For Analysis'!M16</f>
        <v>0.5</v>
      </c>
      <c r="N16" s="16">
        <f>'Data For Analysis'!N16</f>
        <v>1.0169999999999999</v>
      </c>
      <c r="O16" s="16">
        <f>'Data For Analysis'!O16</f>
        <v>0.33300000000000002</v>
      </c>
      <c r="P16" s="16">
        <f>'Data For Analysis'!P16</f>
        <v>0.38300000000000001</v>
      </c>
      <c r="Q16" s="16">
        <f>'Data For Analysis'!Q16</f>
        <v>0.11700000000000001</v>
      </c>
      <c r="R16" s="16">
        <f>'Data For Analysis'!R16</f>
        <v>0.75</v>
      </c>
      <c r="S16" s="16">
        <f>'Data For Analysis'!S16</f>
        <v>0.16700000000000001</v>
      </c>
      <c r="T16" s="16">
        <f>'Data For Analysis'!T16</f>
        <v>0.33300000000000002</v>
      </c>
      <c r="U16" s="16">
        <f>'Data For Analysis'!U16</f>
        <v>8.3299999999999999E-2</v>
      </c>
      <c r="V16" s="16">
        <f>'Data For Analysis'!V16</f>
        <v>0.61699999999999999</v>
      </c>
      <c r="W16" s="16">
        <f>'Data For Analysis'!W16</f>
        <v>6.6699999999999995E-2</v>
      </c>
      <c r="X16" s="16">
        <f>'Data For Analysis'!X16</f>
        <v>6.6699999999999995E-2</v>
      </c>
      <c r="Y16" s="16">
        <f>'Data For Analysis'!Y16</f>
        <v>8.3299999999999999E-2</v>
      </c>
      <c r="Z16" s="16">
        <f>'Data For Analysis'!Z16</f>
        <v>0.28699999999999998</v>
      </c>
      <c r="AA16" s="16">
        <f>'Data For Analysis'!AA16</f>
        <v>0.33300000000000002</v>
      </c>
      <c r="AB16" s="16">
        <f>'Data For Analysis'!AB16</f>
        <v>0.41699999999999998</v>
      </c>
      <c r="AC16" s="16">
        <f>'Data For Analysis'!AC16</f>
        <v>0.11799999999999999</v>
      </c>
      <c r="AD16" s="16">
        <f>'Data For Analysis'!AD16</f>
        <v>1.67E-2</v>
      </c>
      <c r="AE16" s="16">
        <f>'Data For Analysis'!AE16</f>
        <v>2.5920000000000001</v>
      </c>
      <c r="AF16" s="16">
        <f>'Data For Analysis'!AF16</f>
        <v>8.3299999999999999E-2</v>
      </c>
      <c r="AG16" s="16">
        <f>'Data For Analysis'!AG16</f>
        <v>0.25</v>
      </c>
      <c r="AH16" s="16">
        <f>'Data For Analysis'!AH16</f>
        <v>0.5</v>
      </c>
      <c r="AI16" s="16">
        <f>'Data For Analysis'!AI16</f>
        <v>2.383</v>
      </c>
      <c r="AJ16" s="16">
        <f>'Data For Analysis'!AJ16</f>
        <v>8.6170000000000009</v>
      </c>
      <c r="AK16" s="16">
        <f>'Data For Analysis'!AK16</f>
        <v>0.13300000000000001</v>
      </c>
      <c r="AL16" s="16">
        <f>'Data For Analysis'!AL16</f>
        <v>0.23300000000000001</v>
      </c>
      <c r="AM16" s="16">
        <f>'Data For Analysis'!AM16</f>
        <v>0.4</v>
      </c>
      <c r="AN16" s="16">
        <f>'Data For Analysis'!AN16</f>
        <v>0.05</v>
      </c>
      <c r="AO16" s="16">
        <f>'Data For Analysis'!AO16</f>
        <v>1.667</v>
      </c>
      <c r="AP16" s="16">
        <f>'Data For Analysis'!AP16</f>
        <v>0.05</v>
      </c>
      <c r="AQ16" s="16">
        <f>'Data For Analysis'!AQ16</f>
        <v>0.2</v>
      </c>
      <c r="AR16" s="16">
        <f>'Data For Analysis'!AR16</f>
        <v>0.68300000000000005</v>
      </c>
      <c r="AS16" s="16">
        <f>'Data For Analysis'!AS16</f>
        <v>9.8500000000000004E-2</v>
      </c>
      <c r="AT16" s="16">
        <f>'Data For Analysis'!AT16</f>
        <v>5.4669999999999996</v>
      </c>
      <c r="AU16" s="16">
        <f>'Data For Analysis'!AU16</f>
        <v>2.133</v>
      </c>
      <c r="AV16" s="16">
        <f>'Data For Analysis'!AV16</f>
        <v>1.0009999999999999</v>
      </c>
      <c r="AW16" s="16">
        <f>'Data For Analysis'!AW16</f>
        <v>1.67E-2</v>
      </c>
      <c r="AX16" s="16">
        <f>'Data For Analysis'!AX16</f>
        <v>0.5</v>
      </c>
      <c r="AY16" s="16">
        <f>'Data For Analysis'!AY16</f>
        <v>0.16700000000000001</v>
      </c>
      <c r="AZ16" s="16">
        <f>'Data For Analysis'!AZ16</f>
        <v>0.46700000000000003</v>
      </c>
      <c r="BA16" s="16">
        <f>'Data For Analysis'!BA16</f>
        <v>0.33300000000000002</v>
      </c>
      <c r="BB16" s="16">
        <f>'Data For Analysis'!BB16</f>
        <v>0.25</v>
      </c>
      <c r="BC16" s="16">
        <f>'Data For Analysis'!BC16</f>
        <v>0.53300000000000003</v>
      </c>
      <c r="BD16" s="16">
        <f>'Data For Analysis'!BD16</f>
        <v>0.46700000000000003</v>
      </c>
      <c r="BE16" s="16">
        <f>'Data For Analysis'!BE16</f>
        <v>6.6699999999999995E-2</v>
      </c>
      <c r="BF16" s="16">
        <f>'Data For Analysis'!BF16</f>
        <v>0.11700000000000001</v>
      </c>
      <c r="BG16" s="16">
        <f>'Data For Analysis'!BG16</f>
        <v>5.3800000000000001E-2</v>
      </c>
      <c r="BH16" s="16">
        <f>'Data For Analysis'!BH16</f>
        <v>6.6699999999999995E-2</v>
      </c>
      <c r="BI16" s="16">
        <f>'Data For Analysis'!BI16</f>
        <v>0.93100000000000005</v>
      </c>
      <c r="BJ16" s="16">
        <f>'Data For Analysis'!BJ16</f>
        <v>0.217</v>
      </c>
      <c r="BK16" s="16">
        <f>'Data For Analysis'!BK16</f>
        <v>0.05</v>
      </c>
      <c r="BL16" s="16">
        <f>'Data For Analysis'!BL16</f>
        <v>1.1040000000000001</v>
      </c>
      <c r="BM16" s="16">
        <f>'Data For Analysis'!BM16</f>
        <v>0.11700000000000001</v>
      </c>
      <c r="BN16" s="16">
        <f>'Data For Analysis'!BN16</f>
        <v>0.16700000000000001</v>
      </c>
      <c r="BO16" s="16">
        <f>'Data For Analysis'!BO16</f>
        <v>6.6699999999999995E-2</v>
      </c>
      <c r="BP16" s="16">
        <f>'Data For Analysis'!BP16</f>
        <v>4.5030000000000001</v>
      </c>
      <c r="BQ16" s="16">
        <f>'Data For Analysis'!BQ16</f>
        <v>0.11700000000000001</v>
      </c>
      <c r="BR16" s="16">
        <f>'Data For Analysis'!BR16</f>
        <v>3.3300000000000003E-2</v>
      </c>
      <c r="BS16" s="16">
        <f>'Data For Analysis'!BS16</f>
        <v>0.13100000000000001</v>
      </c>
      <c r="BT16" s="16">
        <f>'Data For Analysis'!BT16</f>
        <v>0.05</v>
      </c>
      <c r="BU16" s="16">
        <f>'Data For Analysis'!BU16</f>
        <v>2.0167000000000002</v>
      </c>
      <c r="BV16" s="16">
        <f>'Data For Analysis'!BV16</f>
        <v>0.26700000000000002</v>
      </c>
      <c r="BW16" s="16">
        <f>'Data For Analysis'!BW16</f>
        <v>0.25</v>
      </c>
      <c r="BX16" s="16">
        <f>'Data For Analysis'!BX16</f>
        <v>3.3300000000000003E-2</v>
      </c>
      <c r="BY16" s="16">
        <f>'Data For Analysis'!BY16</f>
        <v>1.67E-2</v>
      </c>
      <c r="BZ16" s="16">
        <f>'Data For Analysis'!BZ16</f>
        <v>0.91700000000000004</v>
      </c>
      <c r="CA16" s="16">
        <f>'Data For Analysis'!CA16</f>
        <v>0.83299999999999996</v>
      </c>
      <c r="CB16" s="16">
        <f>'Data For Analysis'!CB16</f>
        <v>0.05</v>
      </c>
      <c r="CC16" s="16">
        <f>'Data For Analysis'!CC16</f>
        <v>0.33300000000000002</v>
      </c>
      <c r="CD16" s="16">
        <f>'Data For Analysis'!CD16</f>
        <v>0.51200000000000001</v>
      </c>
      <c r="CE16" s="16">
        <f>'Data For Analysis'!CE16</f>
        <v>0.53300000000000003</v>
      </c>
      <c r="CF16" s="16">
        <f>'Data For Analysis'!CF16</f>
        <v>0.66700000000000004</v>
      </c>
      <c r="CG16" s="16">
        <f>'Data For Analysis'!CG16</f>
        <v>1.35</v>
      </c>
      <c r="CH16" s="16">
        <f>'Data For Analysis'!CH16</f>
        <v>0.16700000000000001</v>
      </c>
      <c r="CI16" s="16">
        <f>'Data For Analysis'!CI16</f>
        <v>1.75</v>
      </c>
      <c r="CJ16" s="16">
        <f>'Data For Analysis'!CJ16</f>
        <v>2.25</v>
      </c>
      <c r="CK16" s="16">
        <f>'Data For Analysis'!CK16</f>
        <v>0.13300000000000001</v>
      </c>
      <c r="CL16" s="16">
        <f>'Data For Analysis'!CL16</f>
        <v>8.7499999999999994E-2</v>
      </c>
      <c r="CM16" s="16">
        <f>'Data For Analysis'!CM16</f>
        <v>0.317</v>
      </c>
      <c r="CN16" s="16"/>
      <c r="CO16" s="16"/>
      <c r="CP16" s="16"/>
      <c r="CQ16" s="16"/>
      <c r="CR16" s="16"/>
      <c r="CS16" s="16"/>
      <c r="CT16" s="16"/>
    </row>
    <row r="17" spans="1:98" ht="15.75" thickBot="1" x14ac:dyDescent="0.3">
      <c r="A17" s="346"/>
      <c r="B17" s="1" t="str">
        <f>'Data For Analysis'!B17</f>
        <v>3.c.</v>
      </c>
      <c r="C17" s="6" t="str">
        <f>'Data For Analysis'!C17</f>
        <v>Direct</v>
      </c>
      <c r="D17" s="16">
        <f>'Data For Analysis'!D17-'Data For Analysis'!D16</f>
        <v>0.53333333333333321</v>
      </c>
      <c r="E17" s="16">
        <f>'Data For Analysis'!E17-'Data For Analysis'!E16</f>
        <v>2.516</v>
      </c>
      <c r="F17" s="16">
        <f>'Data For Analysis'!F17-'Data For Analysis'!F16</f>
        <v>0.25</v>
      </c>
      <c r="G17" s="16">
        <f>'Data For Analysis'!G17-'Data For Analysis'!G16</f>
        <v>1.7669999999999999</v>
      </c>
      <c r="H17" s="16">
        <f>'Data For Analysis'!H17-'Data For Analysis'!H16</f>
        <v>1.0329999999999999</v>
      </c>
      <c r="I17" s="16">
        <f>'Data For Analysis'!I17-'Data For Analysis'!I16</f>
        <v>0</v>
      </c>
      <c r="J17" s="16">
        <f>'Data For Analysis'!J17-'Data For Analysis'!J16</f>
        <v>0.71666666666666667</v>
      </c>
      <c r="K17" s="16">
        <f>'Data For Analysis'!K17-'Data For Analysis'!K16</f>
        <v>3.25</v>
      </c>
      <c r="L17" s="16">
        <f>'Data For Analysis'!L17-'Data For Analysis'!L16</f>
        <v>0.308</v>
      </c>
      <c r="M17" s="16">
        <f>'Data For Analysis'!M17-'Data For Analysis'!M16</f>
        <v>2</v>
      </c>
      <c r="N17" s="16">
        <f>'Data For Analysis'!N17-'Data For Analysis'!N16</f>
        <v>0.83300000000000018</v>
      </c>
      <c r="O17" s="16">
        <f>'Data For Analysis'!O17-'Data For Analysis'!O16</f>
        <v>0.49999999999999994</v>
      </c>
      <c r="P17" s="16">
        <f>'Data For Analysis'!P17-'Data For Analysis'!P16</f>
        <v>4</v>
      </c>
      <c r="Q17" s="16">
        <f>'Data For Analysis'!Q17-'Data For Analysis'!Q16</f>
        <v>12.049999999999999</v>
      </c>
      <c r="R17" s="16">
        <f>'Data For Analysis'!R17-'Data For Analysis'!R16</f>
        <v>1.75</v>
      </c>
      <c r="S17" s="16">
        <f>'Data For Analysis'!S17-'Data For Analysis'!S16</f>
        <v>0.67799999999999994</v>
      </c>
      <c r="T17" s="16">
        <f>'Data For Analysis'!T17-'Data For Analysis'!T16</f>
        <v>0.33400000000000002</v>
      </c>
      <c r="U17" s="16">
        <f>'Data For Analysis'!U17-'Data For Analysis'!U16</f>
        <v>0.19969999999999999</v>
      </c>
      <c r="V17" s="16">
        <f>'Data For Analysis'!V17-'Data For Analysis'!V16</f>
        <v>0.60000000000000009</v>
      </c>
      <c r="W17" s="16">
        <f>'Data For Analysis'!W17-'Data For Analysis'!W16</f>
        <v>1.5003</v>
      </c>
      <c r="X17" s="16">
        <f>'Data For Analysis'!X17-'Data For Analysis'!X16</f>
        <v>0.50029999999999997</v>
      </c>
      <c r="Y17" s="16">
        <f>'Data For Analysis'!Y17-'Data For Analysis'!Y16</f>
        <v>5.4996999999999998</v>
      </c>
      <c r="Z17" s="16">
        <f>'Data For Analysis'!Z17-'Data For Analysis'!Z16</f>
        <v>1.1960000000000002</v>
      </c>
      <c r="AA17" s="16">
        <f>'Data For Analysis'!AA17-'Data For Analysis'!AA16</f>
        <v>2.2999999999999998</v>
      </c>
      <c r="AB17" s="16">
        <f>'Data For Analysis'!AB17-'Data For Analysis'!AB16</f>
        <v>3.8660000000000005</v>
      </c>
      <c r="AC17" s="16">
        <f>'Data For Analysis'!AC17-'Data For Analysis'!AC16</f>
        <v>0.46899999999999997</v>
      </c>
      <c r="AD17" s="16">
        <f>'Data For Analysis'!AD17-'Data For Analysis'!AD16</f>
        <v>0.77529999999999999</v>
      </c>
      <c r="AE17" s="16">
        <f>'Data For Analysis'!AE17-'Data For Analysis'!AE16</f>
        <v>1.093</v>
      </c>
      <c r="AF17" s="16">
        <f>'Data For Analysis'!AF17-'Data For Analysis'!AF16</f>
        <v>0.41670000000000001</v>
      </c>
      <c r="AG17" s="16">
        <f>'Data For Analysis'!AG17-'Data For Analysis'!AG16</f>
        <v>6.0830000000000002</v>
      </c>
      <c r="AH17" s="16">
        <f>'Data For Analysis'!AH17-'Data For Analysis'!AH16</f>
        <v>1</v>
      </c>
      <c r="AI17" s="16">
        <f>'Data For Analysis'!AI17-'Data For Analysis'!AI16</f>
        <v>0.1339999999999999</v>
      </c>
      <c r="AJ17" s="16">
        <f>'Data For Analysis'!AJ17-'Data For Analysis'!AJ16</f>
        <v>3</v>
      </c>
      <c r="AK17" s="16">
        <f>'Data For Analysis'!AK17-'Data For Analysis'!AK16</f>
        <v>0.7</v>
      </c>
      <c r="AL17" s="16">
        <f>'Data For Analysis'!AL17-'Data For Analysis'!AL16</f>
        <v>0.56700000000000006</v>
      </c>
      <c r="AM17" s="16">
        <f>'Data For Analysis'!AM17-'Data For Analysis'!AM16</f>
        <v>0.16699999999999993</v>
      </c>
      <c r="AN17" s="16">
        <f>'Data For Analysis'!AN17-'Data For Analysis'!AN16</f>
        <v>0.2</v>
      </c>
      <c r="AO17" s="16">
        <f>'Data For Analysis'!AO17-'Data For Analysis'!AO16</f>
        <v>0.18300000000000005</v>
      </c>
      <c r="AP17" s="16">
        <f>'Data For Analysis'!AP17-'Data For Analysis'!AP16</f>
        <v>0.78299999999999992</v>
      </c>
      <c r="AQ17" s="16">
        <f>'Data For Analysis'!AQ17-'Data For Analysis'!AQ16</f>
        <v>0.81669999999999998</v>
      </c>
      <c r="AR17" s="16">
        <f>'Data For Analysis'!AR17-'Data For Analysis'!AR16</f>
        <v>1.4839999999999998</v>
      </c>
      <c r="AS17" s="16">
        <f>'Data For Analysis'!AS17-'Data For Analysis'!AS16</f>
        <v>0.11749999999999999</v>
      </c>
      <c r="AT17" s="16">
        <f>'Data For Analysis'!AT17-'Data For Analysis'!AT16</f>
        <v>0.95000000000000018</v>
      </c>
      <c r="AU17" s="16">
        <f>'Data For Analysis'!AU17-'Data For Analysis'!AU16</f>
        <v>0.39999999999999991</v>
      </c>
      <c r="AV17" s="16">
        <f>'Data For Analysis'!AV17-'Data For Analysis'!AV16</f>
        <v>0.3450000000000002</v>
      </c>
      <c r="AW17" s="16">
        <f>'Data For Analysis'!AW17-'Data For Analysis'!AW16</f>
        <v>0.3503</v>
      </c>
      <c r="AX17" s="16">
        <f>'Data For Analysis'!AX17-'Data For Analysis'!AX16</f>
        <v>7.75</v>
      </c>
      <c r="AY17" s="16">
        <f>'Data For Analysis'!AY17-'Data For Analysis'!AY16</f>
        <v>3.1660000000000004</v>
      </c>
      <c r="AZ17" s="16">
        <f>'Data For Analysis'!AZ17-'Data For Analysis'!AZ16</f>
        <v>1.5497000000000001</v>
      </c>
      <c r="BA17" s="16">
        <f>'Data For Analysis'!BA17-'Data For Analysis'!BA16</f>
        <v>1.3169999999999999</v>
      </c>
      <c r="BB17" s="16">
        <f>'Data For Analysis'!BB17-'Data For Analysis'!BB16</f>
        <v>2</v>
      </c>
      <c r="BC17" s="16">
        <f>'Data For Analysis'!BC17-'Data For Analysis'!BC16</f>
        <v>1.2000000000000002</v>
      </c>
      <c r="BD17" s="16">
        <f>'Data For Analysis'!BD17-'Data For Analysis'!BD16</f>
        <v>1.1829999999999998</v>
      </c>
      <c r="BE17" s="16">
        <f>'Data For Analysis'!BE17-'Data For Analysis'!BE16</f>
        <v>0.76629999999999998</v>
      </c>
      <c r="BF17" s="16">
        <f>'Data For Analysis'!BF17-'Data For Analysis'!BF16</f>
        <v>0.85</v>
      </c>
      <c r="BG17" s="16">
        <f>'Data For Analysis'!BG17-'Data For Analysis'!BG16</f>
        <v>0.37719999999999998</v>
      </c>
      <c r="BH17" s="16">
        <f>'Data For Analysis'!BH17-'Data For Analysis'!BH16</f>
        <v>0.20030000000000003</v>
      </c>
      <c r="BI17" s="16">
        <f>'Data For Analysis'!BI17-'Data For Analysis'!BI16</f>
        <v>1.2810000000000001</v>
      </c>
      <c r="BJ17" s="16">
        <f>'Data For Analysis'!BJ17-'Data For Analysis'!BJ16</f>
        <v>0.95000000000000007</v>
      </c>
      <c r="BK17" s="16">
        <f>'Data For Analysis'!BK17-'Data For Analysis'!BK16</f>
        <v>8.3000000000000004E-2</v>
      </c>
      <c r="BL17" s="16">
        <f>'Data For Analysis'!BL17-'Data For Analysis'!BL16</f>
        <v>1.9922999999999997</v>
      </c>
      <c r="BM17" s="16">
        <f>'Data For Analysis'!BM17-'Data For Analysis'!BM16</f>
        <v>0.96629999999999994</v>
      </c>
      <c r="BN17" s="16">
        <f>'Data For Analysis'!BN17-'Data For Analysis'!BN16</f>
        <v>0.90470000000000006</v>
      </c>
      <c r="BO17" s="16">
        <f>'Data For Analysis'!BO17-'Data For Analysis'!BO16</f>
        <v>0.36630000000000001</v>
      </c>
      <c r="BP17" s="16">
        <f>'Data For Analysis'!BP17-'Data For Analysis'!BP16</f>
        <v>6.3789999999999996</v>
      </c>
      <c r="BQ17" s="16">
        <f>'Data For Analysis'!BQ17-'Data For Analysis'!BQ16</f>
        <v>2.2999999999999998</v>
      </c>
      <c r="BR17" s="16">
        <f>'Data For Analysis'!BR17-'Data For Analysis'!BR16</f>
        <v>0.44969999999999999</v>
      </c>
      <c r="BS17" s="16">
        <f>'Data For Analysis'!BS17-'Data For Analysis'!BS16</f>
        <v>8.4999999999999992E-2</v>
      </c>
      <c r="BT17" s="16">
        <f>'Data For Analysis'!BT17-'Data For Analysis'!BT16</f>
        <v>3.3000000000000003</v>
      </c>
      <c r="BU17" s="16">
        <f>'Data For Analysis'!BU17-'Data For Analysis'!BU16</f>
        <v>1.1833</v>
      </c>
      <c r="BV17" s="16">
        <f>'Data For Analysis'!BV17-'Data For Analysis'!BV16</f>
        <v>0.51600000000000001</v>
      </c>
      <c r="BW17" s="16">
        <f>'Data For Analysis'!BW17-'Data For Analysis'!BW16</f>
        <v>1</v>
      </c>
      <c r="BX17" s="16">
        <f>'Data For Analysis'!BX17-'Data For Analysis'!BX16</f>
        <v>0.88370000000000004</v>
      </c>
      <c r="BY17" s="16">
        <f>'Data For Analysis'!BY17-'Data For Analysis'!BY16</f>
        <v>0.93329999999999991</v>
      </c>
      <c r="BZ17" s="16">
        <f>'Data For Analysis'!BZ17-'Data For Analysis'!BZ16</f>
        <v>5.0997000000000003</v>
      </c>
      <c r="CA17" s="16">
        <f>'Data For Analysis'!CA17-'Data For Analysis'!CA16</f>
        <v>0.28400000000000003</v>
      </c>
      <c r="CB17" s="16">
        <f>'Data For Analysis'!CB17-'Data For Analysis'!CB16</f>
        <v>3.1500000000000004</v>
      </c>
      <c r="CC17" s="16">
        <f>'Data For Analysis'!CC17-'Data For Analysis'!CC16</f>
        <v>0.33400000000000002</v>
      </c>
      <c r="CD17" s="16">
        <f>'Data For Analysis'!CD17-'Data For Analysis'!CD16</f>
        <v>0.125</v>
      </c>
      <c r="CE17" s="16">
        <f>'Data For Analysis'!CE17-'Data For Analysis'!CE16</f>
        <v>9.9999999999999978E-2</v>
      </c>
      <c r="CF17" s="16">
        <f>'Data For Analysis'!CF17-'Data For Analysis'!CF16</f>
        <v>11.233000000000001</v>
      </c>
      <c r="CG17" s="16">
        <f>'Data For Analysis'!CG17-'Data For Analysis'!CG16</f>
        <v>1.7829999999999999</v>
      </c>
      <c r="CH17" s="16">
        <f>'Data For Analysis'!CH17-'Data For Analysis'!CH16</f>
        <v>2.8000000000000003</v>
      </c>
      <c r="CI17" s="16">
        <f>'Data For Analysis'!CI17-'Data For Analysis'!CI16</f>
        <v>1</v>
      </c>
      <c r="CJ17" s="16">
        <f>'Data For Analysis'!CJ17-'Data For Analysis'!CJ16</f>
        <v>0.56700000000000017</v>
      </c>
      <c r="CK17" s="16">
        <f>'Data For Analysis'!CK17-'Data For Analysis'!CK16</f>
        <v>0.1</v>
      </c>
      <c r="CL17" s="16">
        <f>'Data For Analysis'!CL17-'Data For Analysis'!CL16</f>
        <v>1.9500000000000003E-2</v>
      </c>
      <c r="CM17" s="16">
        <f>'Data For Analysis'!CM17-'Data For Analysis'!CM16</f>
        <v>5.7496999999999998</v>
      </c>
      <c r="CN17" s="16"/>
      <c r="CO17" s="16"/>
      <c r="CP17" s="16"/>
      <c r="CQ17" s="16"/>
      <c r="CR17" s="16"/>
      <c r="CS17" s="16"/>
      <c r="CT17" s="16"/>
    </row>
    <row r="18" spans="1:98" x14ac:dyDescent="0.25">
      <c r="B18" s="1" t="str">
        <f>'Data For Analysis'!B18</f>
        <v>3.d.</v>
      </c>
      <c r="C18" s="6" t="str">
        <f>'Data For Analysis'!C18</f>
        <v>Travel (Internal)</v>
      </c>
      <c r="D18" s="16">
        <f>'Data For Analysis'!D18-'Data For Analysis'!D17</f>
        <v>2.0833333333333339</v>
      </c>
      <c r="E18" s="16">
        <f>'Data For Analysis'!E18-'Data For Analysis'!E17</f>
        <v>0.38400000000000034</v>
      </c>
      <c r="F18" s="16">
        <f>'Data For Analysis'!F18-'Data For Analysis'!F17</f>
        <v>0.25</v>
      </c>
      <c r="G18" s="16">
        <f>'Data For Analysis'!G18-'Data For Analysis'!G17</f>
        <v>4.1159999999999997</v>
      </c>
      <c r="H18" s="16">
        <f>'Data For Analysis'!H18-'Data For Analysis'!H17</f>
        <v>0.81699999999999995</v>
      </c>
      <c r="I18" s="16">
        <f>'Data For Analysis'!I18-'Data For Analysis'!I17</f>
        <v>5.083333333333333</v>
      </c>
      <c r="J18" s="16">
        <f>'Data For Analysis'!J18-'Data For Analysis'!J17</f>
        <v>0.18333333333333335</v>
      </c>
      <c r="K18" s="16">
        <f>'Data For Analysis'!K18-'Data For Analysis'!K17</f>
        <v>0.7330000000000001</v>
      </c>
      <c r="L18" s="16">
        <f>'Data For Analysis'!L18-'Data For Analysis'!L17</f>
        <v>0.41099999999999998</v>
      </c>
      <c r="M18" s="16">
        <f>'Data For Analysis'!M18-'Data For Analysis'!M17</f>
        <v>1.2170000000000001</v>
      </c>
      <c r="N18" s="16">
        <f>'Data For Analysis'!N18-'Data For Analysis'!N17</f>
        <v>0.53299999999999992</v>
      </c>
      <c r="O18" s="16">
        <f>'Data For Analysis'!O18-'Data For Analysis'!O17</f>
        <v>0.91700000000000004</v>
      </c>
      <c r="P18" s="16">
        <f>'Data For Analysis'!P18-'Data For Analysis'!P17</f>
        <v>2.1840000000000002</v>
      </c>
      <c r="Q18" s="16">
        <f>'Data For Analysis'!Q18-'Data For Analysis'!Q17</f>
        <v>0.40000000000000036</v>
      </c>
      <c r="R18" s="16">
        <f>'Data For Analysis'!R18-'Data For Analysis'!R17</f>
        <v>1.75</v>
      </c>
      <c r="S18" s="16">
        <f>'Data For Analysis'!S18-'Data For Analysis'!S17</f>
        <v>0.40799999999999992</v>
      </c>
      <c r="T18" s="16">
        <f>'Data For Analysis'!T18-'Data For Analysis'!T17</f>
        <v>1</v>
      </c>
      <c r="U18" s="16">
        <f>'Data For Analysis'!U18-'Data For Analysis'!U17</f>
        <v>0.26700000000000007</v>
      </c>
      <c r="V18" s="16">
        <f>'Data For Analysis'!V18-'Data For Analysis'!V17</f>
        <v>1.9329999999999998</v>
      </c>
      <c r="W18" s="16">
        <f>'Data For Analysis'!W18-'Data For Analysis'!W17</f>
        <v>1.4330000000000001</v>
      </c>
      <c r="X18" s="16">
        <f>'Data For Analysis'!X18-'Data For Analysis'!X17</f>
        <v>0.38300000000000001</v>
      </c>
      <c r="Y18" s="16">
        <f>'Data For Analysis'!Y18-'Data For Analysis'!Y17</f>
        <v>2.5839999999999996</v>
      </c>
      <c r="Z18" s="16">
        <f>'Data For Analysis'!Z18-'Data For Analysis'!Z17</f>
        <v>3.6169999999999995</v>
      </c>
      <c r="AA18" s="16">
        <f>'Data For Analysis'!AA18-'Data For Analysis'!AA17</f>
        <v>0.33400000000000007</v>
      </c>
      <c r="AB18" s="16">
        <f>'Data For Analysis'!AB18-'Data For Analysis'!AB17</f>
        <v>1.617</v>
      </c>
      <c r="AC18" s="16">
        <f>'Data For Analysis'!AC18-'Data For Analysis'!AC17</f>
        <v>0.36499999999999999</v>
      </c>
      <c r="AD18" s="16">
        <f>'Data For Analysis'!AD18-'Data For Analysis'!AD17</f>
        <v>0.68599999999999994</v>
      </c>
      <c r="AE18" s="16">
        <f>'Data For Analysis'!AE18-'Data For Analysis'!AE17</f>
        <v>4.4879999999999995</v>
      </c>
      <c r="AF18" s="16">
        <f>'Data For Analysis'!AF18-'Data For Analysis'!AF17</f>
        <v>2.5832999999999999</v>
      </c>
      <c r="AG18" s="16">
        <f>'Data For Analysis'!AG18-'Data For Analysis'!AG17</f>
        <v>2.6340000000000003</v>
      </c>
      <c r="AH18" s="16">
        <f>'Data For Analysis'!AH18-'Data For Analysis'!AH17</f>
        <v>1.25</v>
      </c>
      <c r="AI18" s="16">
        <f>'Data For Analysis'!AI18-'Data For Analysis'!AI17</f>
        <v>3.2999999999999918E-2</v>
      </c>
      <c r="AJ18" s="16">
        <f>'Data For Analysis'!AJ18-'Data For Analysis'!AJ17</f>
        <v>3.0449999999999999</v>
      </c>
      <c r="AK18" s="16">
        <f>'Data For Analysis'!AK18-'Data For Analysis'!AK17</f>
        <v>1.8339999999999999</v>
      </c>
      <c r="AL18" s="16">
        <f>'Data For Analysis'!AL18-'Data For Analysis'!AL17</f>
        <v>1.0169999999999999</v>
      </c>
      <c r="AM18" s="16">
        <f>'Data For Analysis'!AM18-'Data For Analysis'!AM17</f>
        <v>1.1500000000000001</v>
      </c>
      <c r="AN18" s="16">
        <f>'Data For Analysis'!AN18-'Data For Analysis'!AN17</f>
        <v>0.5</v>
      </c>
      <c r="AO18" s="16">
        <f>'Data For Analysis'!AO18-'Data For Analysis'!AO17</f>
        <v>0.41699999999999982</v>
      </c>
      <c r="AP18" s="16">
        <f>'Data For Analysis'!AP18-'Data For Analysis'!AP17</f>
        <v>0.58400000000000007</v>
      </c>
      <c r="AQ18" s="16">
        <f>'Data For Analysis'!AQ18-'Data For Analysis'!AQ17</f>
        <v>1.2003000000000001</v>
      </c>
      <c r="AR18" s="16">
        <f>'Data For Analysis'!AR18-'Data For Analysis'!AR17</f>
        <v>4</v>
      </c>
      <c r="AS18" s="16">
        <f>'Data For Analysis'!AS18-'Data For Analysis'!AS17</f>
        <v>0.497</v>
      </c>
      <c r="AT18" s="16">
        <f>'Data For Analysis'!AT18-'Data For Analysis'!AT17</f>
        <v>0.31599999999999984</v>
      </c>
      <c r="AU18" s="16">
        <f>'Data For Analysis'!AU18-'Data For Analysis'!AU17</f>
        <v>3.5002999999999997</v>
      </c>
      <c r="AV18" s="16">
        <f>'Data For Analysis'!AV18-'Data For Analysis'!AV17</f>
        <v>0.5</v>
      </c>
      <c r="AW18" s="16">
        <f>'Data For Analysis'!AW18-'Data For Analysis'!AW17</f>
        <v>0.75</v>
      </c>
      <c r="AX18" s="16">
        <f>'Data For Analysis'!AX18-'Data For Analysis'!AX17</f>
        <v>3.0830000000000002</v>
      </c>
      <c r="AY18" s="16">
        <f>'Data For Analysis'!AY18-'Data For Analysis'!AY17</f>
        <v>2</v>
      </c>
      <c r="AZ18" s="16">
        <f>'Data For Analysis'!AZ18-'Data For Analysis'!AZ17</f>
        <v>7.116299999999999</v>
      </c>
      <c r="BA18" s="16">
        <f>'Data For Analysis'!BA18-'Data For Analysis'!BA17</f>
        <v>1.4167000000000001</v>
      </c>
      <c r="BB18" s="16">
        <f>'Data For Analysis'!BB18-'Data For Analysis'!BB17</f>
        <v>1.25</v>
      </c>
      <c r="BC18" s="16">
        <f>'Data For Analysis'!BC18-'Data For Analysis'!BC17</f>
        <v>2.5340000000000003</v>
      </c>
      <c r="BD18" s="16">
        <f>'Data For Analysis'!BD18-'Data For Analysis'!BD17</f>
        <v>2.0670000000000002</v>
      </c>
      <c r="BE18" s="16">
        <f>'Data For Analysis'!BE18-'Data For Analysis'!BE17</f>
        <v>1.7670000000000001</v>
      </c>
      <c r="BF18" s="16">
        <f>'Data For Analysis'!BF18-'Data For Analysis'!BF17</f>
        <v>3.0329999999999999</v>
      </c>
      <c r="BG18" s="16">
        <f>'Data For Analysis'!BG18-'Data For Analysis'!BG17</f>
        <v>0.7669999999999999</v>
      </c>
      <c r="BH18" s="16">
        <f>'Data For Analysis'!BH18-'Data For Analysis'!BH17</f>
        <v>0.35</v>
      </c>
      <c r="BI18" s="16">
        <f>'Data For Analysis'!BI18-'Data For Analysis'!BI17</f>
        <v>0.64799999999999969</v>
      </c>
      <c r="BJ18" s="16">
        <f>'Data For Analysis'!BJ18-'Data For Analysis'!BJ17</f>
        <v>0.58299999999999996</v>
      </c>
      <c r="BK18" s="16">
        <f>'Data For Analysis'!BK18-'Data For Analysis'!BK17</f>
        <v>1.5169999999999999</v>
      </c>
      <c r="BL18" s="16">
        <f>'Data For Analysis'!BL18-'Data For Analysis'!BL17</f>
        <v>1.6686999999999999</v>
      </c>
      <c r="BM18" s="16">
        <f>'Data For Analysis'!BM18-'Data For Analysis'!BM17</f>
        <v>1.1997</v>
      </c>
      <c r="BN18" s="16">
        <f>'Data For Analysis'!BN18-'Data For Analysis'!BN17</f>
        <v>0.32829999999999981</v>
      </c>
      <c r="BO18" s="16">
        <f>'Data For Analysis'!BO18-'Data For Analysis'!BO17</f>
        <v>0.68399999999999994</v>
      </c>
      <c r="BP18" s="16">
        <f>'Data For Analysis'!BP18-'Data For Analysis'!BP17</f>
        <v>0.37599999999999945</v>
      </c>
      <c r="BQ18" s="16">
        <f>'Data For Analysis'!BQ18-'Data For Analysis'!BQ17</f>
        <v>5.1829999999999998</v>
      </c>
      <c r="BR18" s="16">
        <f>'Data For Analysis'!BR18-'Data For Analysis'!BR17</f>
        <v>1.1000000000000001</v>
      </c>
      <c r="BS18" s="16">
        <f>'Data For Analysis'!BS18-'Data For Analysis'!BS17</f>
        <v>0.43300000000000005</v>
      </c>
      <c r="BT18" s="16">
        <f>'Data For Analysis'!BT18-'Data For Analysis'!BT17</f>
        <v>0.64999999999999991</v>
      </c>
      <c r="BU18" s="16">
        <f>'Data For Analysis'!BU18-'Data For Analysis'!BU17</f>
        <v>4.4669999999999996</v>
      </c>
      <c r="BV18" s="16">
        <f>'Data For Analysis'!BV18-'Data For Analysis'!BV17</f>
        <v>0.49999999999999989</v>
      </c>
      <c r="BW18" s="16">
        <f>'Data For Analysis'!BW18-'Data For Analysis'!BW17</f>
        <v>4.133</v>
      </c>
      <c r="BX18" s="16">
        <f>'Data For Analysis'!BX18-'Data For Analysis'!BX17</f>
        <v>0.53299999999999992</v>
      </c>
      <c r="BY18" s="16">
        <f>'Data For Analysis'!BY18-'Data For Analysis'!BY17</f>
        <v>0.51700000000000013</v>
      </c>
      <c r="BZ18" s="16">
        <f>'Data For Analysis'!BZ18-'Data For Analysis'!BZ17</f>
        <v>2.4663000000000004</v>
      </c>
      <c r="CA18" s="16">
        <f>'Data For Analysis'!CA18-'Data For Analysis'!CA17</f>
        <v>0.38300000000000001</v>
      </c>
      <c r="CB18" s="16">
        <f>'Data For Analysis'!CB18-'Data For Analysis'!CB17</f>
        <v>2.383</v>
      </c>
      <c r="CC18" s="16">
        <f>'Data For Analysis'!CC18-'Data For Analysis'!CC17</f>
        <v>5.15</v>
      </c>
      <c r="CD18" s="16">
        <f>'Data For Analysis'!CD18-'Data For Analysis'!CD17</f>
        <v>1.6360000000000001</v>
      </c>
      <c r="CE18" s="16">
        <f>'Data For Analysis'!CE18-'Data For Analysis'!CE17</f>
        <v>3.95</v>
      </c>
      <c r="CF18" s="16">
        <f>'Data For Analysis'!CF18-'Data For Analysis'!CF17</f>
        <v>0.54999999999999893</v>
      </c>
      <c r="CG18" s="16">
        <f>'Data For Analysis'!CG18-'Data For Analysis'!CG17</f>
        <v>2.617</v>
      </c>
      <c r="CH18" s="16">
        <f>'Data For Analysis'!CH18-'Data For Analysis'!CH17</f>
        <v>0.83299999999999974</v>
      </c>
      <c r="CI18" s="16">
        <f>'Data For Analysis'!CI18-'Data For Analysis'!CI17</f>
        <v>2</v>
      </c>
      <c r="CJ18" s="16">
        <f>'Data For Analysis'!CJ18-'Data For Analysis'!CJ17</f>
        <v>0.5</v>
      </c>
      <c r="CK18" s="16">
        <f>'Data For Analysis'!CK18-'Data For Analysis'!CK17</f>
        <v>3.35</v>
      </c>
      <c r="CL18" s="16">
        <f>'Data For Analysis'!CL18-'Data For Analysis'!CL17</f>
        <v>1.0309999999999999</v>
      </c>
      <c r="CM18" s="16">
        <f>'Data For Analysis'!CM18-'Data For Analysis'!CM17</f>
        <v>2.0000000000000009</v>
      </c>
      <c r="CN18" s="16"/>
      <c r="CO18" s="16"/>
      <c r="CP18" s="16"/>
      <c r="CQ18" s="16"/>
      <c r="CR18" s="16"/>
      <c r="CS18" s="16"/>
      <c r="CT18" s="16"/>
    </row>
    <row r="19" spans="1:98" x14ac:dyDescent="0.25">
      <c r="B19" s="1" t="str">
        <f>'Data For Analysis'!B19</f>
        <v>3.e.</v>
      </c>
      <c r="C19" s="6" t="str">
        <f>'Data For Analysis'!C19</f>
        <v>Direct</v>
      </c>
      <c r="D19" s="16">
        <f>'Data For Analysis'!D19-'Data For Analysis'!D18</f>
        <v>3.6833333333333336</v>
      </c>
      <c r="E19" s="16">
        <f>'Data For Analysis'!E19-'Data For Analysis'!E18</f>
        <v>5.766</v>
      </c>
      <c r="F19" s="16">
        <f>'Data For Analysis'!F19-'Data For Analysis'!F18</f>
        <v>3.5</v>
      </c>
      <c r="G19" s="16">
        <f>'Data For Analysis'!G19-'Data For Analysis'!G18</f>
        <v>3.2839999999999998</v>
      </c>
      <c r="H19" s="16">
        <f>'Data For Analysis'!H19-'Data For Analysis'!H18</f>
        <v>2.65</v>
      </c>
      <c r="I19" s="16">
        <f>'Data For Analysis'!I19-'Data For Analysis'!I18</f>
        <v>2.666666666666667</v>
      </c>
      <c r="J19" s="16">
        <f>'Data For Analysis'!J19-'Data For Analysis'!J18</f>
        <v>4.75</v>
      </c>
      <c r="K19" s="16">
        <f>'Data For Analysis'!K19-'Data For Analysis'!K18</f>
        <v>5.5330000000000004</v>
      </c>
      <c r="L19" s="16">
        <f>'Data For Analysis'!L19-'Data For Analysis'!L18</f>
        <v>3.4739999999999998</v>
      </c>
      <c r="M19" s="16">
        <f>'Data For Analysis'!M19-'Data For Analysis'!M18</f>
        <v>3.3162999999999996</v>
      </c>
      <c r="N19" s="16">
        <f>'Data For Analysis'!N19-'Data For Analysis'!N18</f>
        <v>10.700299999999999</v>
      </c>
      <c r="O19" s="16">
        <f>'Data For Analysis'!O19-'Data For Analysis'!O18</f>
        <v>2.5830000000000002</v>
      </c>
      <c r="P19" s="16">
        <f>'Data For Analysis'!P19-'Data For Analysis'!P18</f>
        <v>6.766</v>
      </c>
      <c r="Q19" s="16">
        <f>'Data For Analysis'!Q19-'Data For Analysis'!Q18</f>
        <v>4.9660000000000011</v>
      </c>
      <c r="R19" s="16">
        <f>'Data For Analysis'!R19-'Data For Analysis'!R18</f>
        <v>3.0830000000000002</v>
      </c>
      <c r="S19" s="16">
        <f>'Data For Analysis'!S19-'Data For Analysis'!S18</f>
        <v>4.1739999999999995</v>
      </c>
      <c r="T19" s="16">
        <f>'Data For Analysis'!T19-'Data For Analysis'!T18</f>
        <v>3.5830000000000002</v>
      </c>
      <c r="U19" s="16">
        <f>'Data For Analysis'!U19-'Data For Analysis'!U18</f>
        <v>10.183</v>
      </c>
      <c r="V19" s="16">
        <f>'Data For Analysis'!V19-'Data For Analysis'!V18</f>
        <v>7.1</v>
      </c>
      <c r="W19" s="16">
        <f>'Data For Analysis'!W19-'Data For Analysis'!W18</f>
        <v>2.75</v>
      </c>
      <c r="X19" s="16">
        <f>'Data For Analysis'!X19-'Data For Analysis'!X18</f>
        <v>5.0667</v>
      </c>
      <c r="Y19" s="16">
        <f>'Data For Analysis'!Y19-'Data For Analysis'!Y18</f>
        <v>9.6659999999999986</v>
      </c>
      <c r="Z19" s="16">
        <f>'Data For Analysis'!Z19-'Data For Analysis'!Z18</f>
        <v>7.5</v>
      </c>
      <c r="AA19" s="16">
        <f>'Data For Analysis'!AA19-'Data For Analysis'!AA18</f>
        <v>2.0329999999999999</v>
      </c>
      <c r="AB19" s="16">
        <f>'Data For Analysis'!AB19-'Data For Analysis'!AB18</f>
        <v>3.3170000000000002</v>
      </c>
      <c r="AC19" s="16">
        <f>'Data For Analysis'!AC19-'Data For Analysis'!AC18</f>
        <v>4.9980000000000002</v>
      </c>
      <c r="AD19" s="16">
        <f>'Data For Analysis'!AD19-'Data For Analysis'!AD18</f>
        <v>5.8020000000000005</v>
      </c>
      <c r="AE19" s="16">
        <f>'Data For Analysis'!AE19-'Data For Analysis'!AE18</f>
        <v>2.577</v>
      </c>
      <c r="AF19" s="16">
        <f>'Data For Analysis'!AF19-'Data For Analysis'!AF18</f>
        <v>2.0337000000000001</v>
      </c>
      <c r="AG19" s="16">
        <f>'Data For Analysis'!AG19-'Data For Analysis'!AG18</f>
        <v>3.6329999999999991</v>
      </c>
      <c r="AH19" s="16">
        <f>'Data For Analysis'!AH19-'Data For Analysis'!AH18</f>
        <v>4</v>
      </c>
      <c r="AI19" s="16">
        <f>'Data For Analysis'!AI19-'Data For Analysis'!AI18</f>
        <v>6.55</v>
      </c>
      <c r="AJ19" s="16">
        <f>'Data For Analysis'!AJ19-'Data For Analysis'!AJ18</f>
        <v>5.6169999999999991</v>
      </c>
      <c r="AK19" s="16">
        <f>'Data For Analysis'!AK19-'Data For Analysis'!AK18</f>
        <v>7.7330000000000005</v>
      </c>
      <c r="AL19" s="16">
        <f>'Data For Analysis'!AL19-'Data For Analysis'!AL18</f>
        <v>7.9659999999999993</v>
      </c>
      <c r="AM19" s="16">
        <f>'Data For Analysis'!AM19-'Data For Analysis'!AM18</f>
        <v>2.7159999999999997</v>
      </c>
      <c r="AN19" s="16">
        <f>'Data For Analysis'!AN19-'Data For Analysis'!AN18</f>
        <v>4.1669999999999998</v>
      </c>
      <c r="AO19" s="16">
        <f>'Data For Analysis'!AO19-'Data For Analysis'!AO18</f>
        <v>1.7000000000000002</v>
      </c>
      <c r="AP19" s="16">
        <f>'Data For Analysis'!AP19-'Data For Analysis'!AP18</f>
        <v>5.75</v>
      </c>
      <c r="AQ19" s="16">
        <f>'Data For Analysis'!AQ19-'Data For Analysis'!AQ18</f>
        <v>3.9</v>
      </c>
      <c r="AR19" s="16">
        <f>'Data For Analysis'!AR19-'Data For Analysis'!AR18</f>
        <v>2.4659999999999993</v>
      </c>
      <c r="AS19" s="16">
        <f>'Data For Analysis'!AS19-'Data For Analysis'!AS18</f>
        <v>5.7489999999999997</v>
      </c>
      <c r="AT19" s="16">
        <f>'Data For Analysis'!AT19-'Data For Analysis'!AT18</f>
        <v>3.2169999999999996</v>
      </c>
      <c r="AU19" s="16">
        <f>'Data For Analysis'!AU19-'Data For Analysis'!AU18</f>
        <v>2.2997000000000005</v>
      </c>
      <c r="AV19" s="16">
        <f>'Data For Analysis'!AV19-'Data For Analysis'!AV18</f>
        <v>3.5289999999999999</v>
      </c>
      <c r="AW19" s="16">
        <f>'Data For Analysis'!AW19-'Data For Analysis'!AW18</f>
        <v>5.5</v>
      </c>
      <c r="AX19" s="16">
        <f>'Data For Analysis'!AX19-'Data For Analysis'!AX18</f>
        <v>3.9169999999999998</v>
      </c>
      <c r="AY19" s="16">
        <f>'Data For Analysis'!AY19-'Data For Analysis'!AY18</f>
        <v>2</v>
      </c>
      <c r="AZ19" s="16">
        <f>'Data For Analysis'!AZ19-'Data For Analysis'!AZ18</f>
        <v>5.2670000000000012</v>
      </c>
      <c r="BA19" s="16">
        <f>'Data For Analysis'!BA19-'Data For Analysis'!BA18</f>
        <v>7.8333000000000004</v>
      </c>
      <c r="BB19" s="16">
        <f>'Data For Analysis'!BB19-'Data For Analysis'!BB18</f>
        <v>3.617</v>
      </c>
      <c r="BC19" s="16">
        <f>'Data For Analysis'!BC19-'Data For Analysis'!BC18</f>
        <v>4.1659999999999995</v>
      </c>
      <c r="BD19" s="16">
        <f>'Data For Analysis'!BD19-'Data For Analysis'!BD18</f>
        <v>3.2659999999999996</v>
      </c>
      <c r="BE19" s="16">
        <f>'Data For Analysis'!BE19-'Data For Analysis'!BE18</f>
        <v>5.1669999999999998</v>
      </c>
      <c r="BF19" s="16">
        <f>'Data For Analysis'!BF19-'Data For Analysis'!BF18</f>
        <v>4.0999999999999996</v>
      </c>
      <c r="BG19" s="16">
        <f>'Data For Analysis'!BG19-'Data For Analysis'!BG18</f>
        <v>2.2549999999999999</v>
      </c>
      <c r="BH19" s="16">
        <f>'Data For Analysis'!BH19-'Data For Analysis'!BH18</f>
        <v>3.9329999999999998</v>
      </c>
      <c r="BI19" s="16">
        <f>'Data For Analysis'!BI19-'Data For Analysis'!BI18</f>
        <v>1.109</v>
      </c>
      <c r="BJ19" s="16">
        <f>'Data For Analysis'!BJ19-'Data For Analysis'!BJ18</f>
        <v>3.25</v>
      </c>
      <c r="BK19" s="16">
        <f>'Data For Analysis'!BK19-'Data For Analysis'!BK18</f>
        <v>4.4167000000000005</v>
      </c>
      <c r="BL19" s="16">
        <f>'Data For Analysis'!BL19-'Data For Analysis'!BL18</f>
        <v>5.04</v>
      </c>
      <c r="BM19" s="16">
        <f>'Data For Analysis'!BM19-'Data For Analysis'!BM18</f>
        <v>0.85000000000000009</v>
      </c>
      <c r="BN19" s="16">
        <f>'Data For Analysis'!BN19-'Data For Analysis'!BN18</f>
        <v>8.5</v>
      </c>
      <c r="BO19" s="16">
        <f>'Data For Analysis'!BO19-'Data For Analysis'!BO18</f>
        <v>3.7329999999999997</v>
      </c>
      <c r="BP19" s="16">
        <f>'Data For Analysis'!BP19-'Data For Analysis'!BP18</f>
        <v>2.4360000000000017</v>
      </c>
      <c r="BQ19" s="16">
        <f>'Data For Analysis'!BQ19-'Data For Analysis'!BQ18</f>
        <v>2.8170000000000002</v>
      </c>
      <c r="BR19" s="16">
        <f>'Data For Analysis'!BR19-'Data For Analysis'!BR18</f>
        <v>1.8499999999999999</v>
      </c>
      <c r="BS19" s="16">
        <f>'Data For Analysis'!BS19-'Data For Analysis'!BS18</f>
        <v>4.2939999999999996</v>
      </c>
      <c r="BT19" s="16">
        <f>'Data For Analysis'!BT19-'Data For Analysis'!BT18</f>
        <v>1.5330000000000004</v>
      </c>
      <c r="BU19" s="16">
        <f>'Data For Analysis'!BU19-'Data For Analysis'!BU18</f>
        <v>12.965999999999999</v>
      </c>
      <c r="BV19" s="16">
        <f>'Data For Analysis'!BV19-'Data For Analysis'!BV18</f>
        <v>3.0169999999999999</v>
      </c>
      <c r="BW19" s="16">
        <f>'Data For Analysis'!BW19-'Data For Analysis'!BW18</f>
        <v>4.9669999999999996</v>
      </c>
      <c r="BX19" s="16">
        <f>'Data For Analysis'!BX19-'Data For Analysis'!BX18</f>
        <v>3.4169999999999998</v>
      </c>
      <c r="BY19" s="16">
        <f>'Data For Analysis'!BY19-'Data For Analysis'!BY18</f>
        <v>2.7659999999999996</v>
      </c>
      <c r="BZ19" s="16">
        <f>'Data For Analysis'!BZ19-'Data For Analysis'!BZ18</f>
        <v>5.8339999999999996</v>
      </c>
      <c r="CA19" s="16">
        <f>'Data For Analysis'!CA19-'Data For Analysis'!CA18</f>
        <v>2.8499999999999996</v>
      </c>
      <c r="CB19" s="16">
        <f>'Data For Analysis'!CB19-'Data For Analysis'!CB18</f>
        <v>6.25</v>
      </c>
      <c r="CC19" s="16">
        <f>'Data For Analysis'!CC19-'Data For Analysis'!CC18</f>
        <v>8.4499999999999993</v>
      </c>
      <c r="CD19" s="16">
        <f>'Data For Analysis'!CD19-'Data For Analysis'!CD18</f>
        <v>6.0090000000000003</v>
      </c>
      <c r="CE19" s="16">
        <f>'Data For Analysis'!CE19-'Data For Analysis'!CE18</f>
        <v>2.6840000000000002</v>
      </c>
      <c r="CF19" s="16">
        <f>'Data For Analysis'!CF19-'Data For Analysis'!CF18</f>
        <v>3.25</v>
      </c>
      <c r="CG19" s="16">
        <f>'Data For Analysis'!CG19-'Data For Analysis'!CG18</f>
        <v>7.4169999999999998</v>
      </c>
      <c r="CH19" s="16">
        <f>'Data For Analysis'!CH19-'Data For Analysis'!CH18</f>
        <v>5.3500000000000005</v>
      </c>
      <c r="CI19" s="16">
        <f>'Data For Analysis'!CI19-'Data For Analysis'!CI18</f>
        <v>5</v>
      </c>
      <c r="CJ19" s="16">
        <f>'Data For Analysis'!CJ19-'Data For Analysis'!CJ18</f>
        <v>3.3999999999999995</v>
      </c>
      <c r="CK19" s="16">
        <f>'Data For Analysis'!CK19-'Data For Analysis'!CK18</f>
        <v>5.4169999999999998</v>
      </c>
      <c r="CL19" s="16">
        <f>'Data For Analysis'!CL19-'Data For Analysis'!CL18</f>
        <v>14.443</v>
      </c>
      <c r="CM19" s="16">
        <f>'Data For Analysis'!CM19-'Data For Analysis'!CM18</f>
        <v>5.5002999999999993</v>
      </c>
      <c r="CN19" s="16"/>
      <c r="CO19" s="16"/>
      <c r="CP19" s="16"/>
      <c r="CQ19" s="16"/>
      <c r="CR19" s="16"/>
      <c r="CS19" s="16"/>
      <c r="CT19" s="16"/>
    </row>
    <row r="20" spans="1:98" x14ac:dyDescent="0.25">
      <c r="B20" s="1" t="str">
        <f>'Data For Analysis'!B20</f>
        <v>3.f.</v>
      </c>
      <c r="C20" s="6" t="str">
        <f>'Data For Analysis'!C20</f>
        <v>Direct</v>
      </c>
      <c r="D20" s="16">
        <f>'Data For Analysis'!D20-'Data For Analysis'!D19</f>
        <v>31.716666666666661</v>
      </c>
      <c r="E20" s="16">
        <f>'Data For Analysis'!E20-'Data For Analysis'!E19</f>
        <v>26.033999999999999</v>
      </c>
      <c r="F20" s="16">
        <f>'Data For Analysis'!F20-'Data For Analysis'!F19</f>
        <v>22.933333333333334</v>
      </c>
      <c r="G20" s="16">
        <f>'Data For Analysis'!G20-'Data For Analysis'!G19</f>
        <v>17.266000000000002</v>
      </c>
      <c r="H20" s="16">
        <f>'Data For Analysis'!H20-'Data For Analysis'!H19</f>
        <v>21.082999999999998</v>
      </c>
      <c r="I20" s="16">
        <f>'Data For Analysis'!I20-'Data For Analysis'!I19</f>
        <v>19.566666666666666</v>
      </c>
      <c r="J20" s="16">
        <f>'Data For Analysis'!J20-'Data For Analysis'!J19</f>
        <v>49.916666666666664</v>
      </c>
      <c r="K20" s="16">
        <f>'Data For Analysis'!K20-'Data For Analysis'!K19</f>
        <v>29.766999999999999</v>
      </c>
      <c r="L20" s="16">
        <f>'Data For Analysis'!L20-'Data For Analysis'!L19</f>
        <v>24.226000000000003</v>
      </c>
      <c r="M20" s="16">
        <f>'Data For Analysis'!M20-'Data For Analysis'!M19</f>
        <v>33.966700000000003</v>
      </c>
      <c r="N20" s="16">
        <f>'Data For Analysis'!N20-'Data For Analysis'!N19</f>
        <v>22.233699999999999</v>
      </c>
      <c r="O20" s="16">
        <f>'Data For Analysis'!O20-'Data For Analysis'!O19</f>
        <v>19.917000000000002</v>
      </c>
      <c r="P20" s="16">
        <f>'Data For Analysis'!P20-'Data For Analysis'!P19</f>
        <v>24.884</v>
      </c>
      <c r="Q20" s="16">
        <f>'Data For Analysis'!Q20-'Data For Analysis'!Q19</f>
        <v>25.083999999999996</v>
      </c>
      <c r="R20" s="16">
        <f>'Data For Analysis'!R20-'Data For Analysis'!R19</f>
        <v>6.5</v>
      </c>
      <c r="S20" s="16">
        <f>'Data For Analysis'!S20-'Data For Analysis'!S19</f>
        <v>11.783000000000001</v>
      </c>
      <c r="T20" s="16">
        <f>'Data For Analysis'!T20-'Data For Analysis'!T19</f>
        <v>29.582999999999998</v>
      </c>
      <c r="U20" s="16">
        <f>'Data For Analysis'!U20-'Data For Analysis'!U19</f>
        <v>27.900000000000002</v>
      </c>
      <c r="V20" s="16">
        <f>'Data For Analysis'!V20-'Data For Analysis'!V19</f>
        <v>49.3</v>
      </c>
      <c r="W20" s="16">
        <f>'Data For Analysis'!W20-'Data For Analysis'!W19</f>
        <v>24.683</v>
      </c>
      <c r="X20" s="16">
        <f>'Data For Analysis'!X20-'Data For Analysis'!X19</f>
        <v>24.116299999999999</v>
      </c>
      <c r="Y20" s="16">
        <f>'Data For Analysis'!Y20-'Data For Analysis'!Y19</f>
        <v>26.417000000000002</v>
      </c>
      <c r="Z20" s="16">
        <f>'Data For Analysis'!Z20-'Data For Analysis'!Z19</f>
        <v>17.200000000000003</v>
      </c>
      <c r="AA20" s="16">
        <f>'Data For Analysis'!AA20-'Data For Analysis'!AA19</f>
        <v>7.85</v>
      </c>
      <c r="AB20" s="16">
        <f>'Data For Analysis'!AB20-'Data For Analysis'!AB19</f>
        <v>40.916000000000004</v>
      </c>
      <c r="AC20" s="16">
        <f>'Data For Analysis'!AC20-'Data For Analysis'!AC19</f>
        <v>21.381</v>
      </c>
      <c r="AD20" s="16">
        <f>'Data For Analysis'!AD20-'Data For Analysis'!AD19</f>
        <v>15.369999999999997</v>
      </c>
      <c r="AE20" s="16">
        <f>'Data For Analysis'!AE20-'Data For Analysis'!AE19</f>
        <v>33.25</v>
      </c>
      <c r="AF20" s="16">
        <f>'Data For Analysis'!AF20-'Data For Analysis'!AF19</f>
        <v>34.566000000000003</v>
      </c>
      <c r="AG20" s="16">
        <f>'Data For Analysis'!AG20-'Data For Analysis'!AG19</f>
        <v>17.149999999999999</v>
      </c>
      <c r="AH20" s="16">
        <f>'Data For Analysis'!AH20-'Data For Analysis'!AH19</f>
        <v>19.683</v>
      </c>
      <c r="AI20" s="16">
        <f>'Data For Analysis'!AI20-'Data For Analysis'!AI19</f>
        <v>16.017000000000003</v>
      </c>
      <c r="AJ20" s="16">
        <f>'Data For Analysis'!AJ20-'Data For Analysis'!AJ19</f>
        <v>31.370999999999999</v>
      </c>
      <c r="AK20" s="16">
        <f>'Data For Analysis'!AK20-'Data For Analysis'!AK19</f>
        <v>21.167000000000002</v>
      </c>
      <c r="AL20" s="16">
        <f>'Data For Analysis'!AL20-'Data For Analysis'!AL19</f>
        <v>40.049999999999997</v>
      </c>
      <c r="AM20" s="16">
        <f>'Data For Analysis'!AM20-'Data For Analysis'!AM19</f>
        <v>30.549999999999997</v>
      </c>
      <c r="AN20" s="16">
        <f>'Data For Analysis'!AN20-'Data For Analysis'!AN19</f>
        <v>32.783000000000001</v>
      </c>
      <c r="AO20" s="16">
        <f>'Data For Analysis'!AO20-'Data For Analysis'!AO19</f>
        <v>36.550000000000004</v>
      </c>
      <c r="AP20" s="16">
        <f>'Data For Analysis'!AP20-'Data For Analysis'!AP19</f>
        <v>23.35</v>
      </c>
      <c r="AQ20" s="16">
        <f>'Data For Analysis'!AQ20-'Data For Analysis'!AQ19</f>
        <v>15.05</v>
      </c>
      <c r="AR20" s="16">
        <f>'Data For Analysis'!AR20-'Data For Analysis'!AR19</f>
        <v>23.117000000000001</v>
      </c>
      <c r="AS20" s="16">
        <f>'Data For Analysis'!AS20-'Data For Analysis'!AS19</f>
        <v>50.688000000000002</v>
      </c>
      <c r="AT20" s="16">
        <f>'Data For Analysis'!AT20-'Data For Analysis'!AT19</f>
        <v>24.933000000000003</v>
      </c>
      <c r="AU20" s="16">
        <f>'Data For Analysis'!AU20-'Data For Analysis'!AU19</f>
        <v>28.15</v>
      </c>
      <c r="AV20" s="16">
        <f>'Data For Analysis'!AV20-'Data For Analysis'!AV19</f>
        <v>12.596</v>
      </c>
      <c r="AW20" s="16">
        <f>'Data For Analysis'!AW20-'Data For Analysis'!AW19</f>
        <v>42</v>
      </c>
      <c r="AX20" s="16">
        <f>'Data For Analysis'!AX20-'Data For Analysis'!AX19</f>
        <v>41.25</v>
      </c>
      <c r="AY20" s="16">
        <f>'Data For Analysis'!AY20-'Data For Analysis'!AY19</f>
        <v>20</v>
      </c>
      <c r="AZ20" s="16">
        <f>'Data For Analysis'!AZ20-'Data For Analysis'!AZ19</f>
        <v>37.933</v>
      </c>
      <c r="BA20" s="16">
        <f>'Data For Analysis'!BA20-'Data For Analysis'!BA19</f>
        <v>45.050000000000004</v>
      </c>
      <c r="BB20" s="16">
        <f>'Data For Analysis'!BB20-'Data For Analysis'!BB19</f>
        <v>13.332999999999998</v>
      </c>
      <c r="BC20" s="16">
        <f>'Data For Analysis'!BC20-'Data For Analysis'!BC19</f>
        <v>33.1</v>
      </c>
      <c r="BD20" s="16">
        <f>'Data For Analysis'!BD20-'Data For Analysis'!BD19</f>
        <v>32.234000000000002</v>
      </c>
      <c r="BE20" s="16">
        <f>'Data For Analysis'!BE20-'Data For Analysis'!BE19</f>
        <v>18.815999999999999</v>
      </c>
      <c r="BF20" s="16">
        <f>'Data For Analysis'!BF20-'Data For Analysis'!BF19</f>
        <v>20.783000000000001</v>
      </c>
      <c r="BG20" s="16">
        <f>'Data For Analysis'!BG20-'Data For Analysis'!BG19</f>
        <v>29.651</v>
      </c>
      <c r="BH20" s="16">
        <f>'Data For Analysis'!BH20-'Data For Analysis'!BH19</f>
        <v>28.349999999999998</v>
      </c>
      <c r="BI20" s="16">
        <f>'Data For Analysis'!BI20-'Data For Analysis'!BI19</f>
        <v>15.705</v>
      </c>
      <c r="BJ20" s="16">
        <f>'Data For Analysis'!BJ20-'Data For Analysis'!BJ19</f>
        <v>19.417000000000002</v>
      </c>
      <c r="BK20" s="16">
        <f>'Data For Analysis'!BK20-'Data For Analysis'!BK19</f>
        <v>4.8003000000000009</v>
      </c>
      <c r="BL20" s="16">
        <f>'Data For Analysis'!BL20-'Data For Analysis'!BL19</f>
        <v>25.035000000000004</v>
      </c>
      <c r="BM20" s="16">
        <f>'Data For Analysis'!BM20-'Data For Analysis'!BM19</f>
        <v>15.45</v>
      </c>
      <c r="BN20" s="16">
        <f>'Data For Analysis'!BN20-'Data For Analysis'!BN19</f>
        <v>20</v>
      </c>
      <c r="BO20" s="16">
        <f>'Data For Analysis'!BO20-'Data For Analysis'!BO19</f>
        <v>20.067</v>
      </c>
      <c r="BP20" s="16">
        <f>'Data For Analysis'!BP20-'Data For Analysis'!BP19</f>
        <v>44.073</v>
      </c>
      <c r="BQ20" s="16">
        <f>'Data For Analysis'!BQ20-'Data For Analysis'!BQ19</f>
        <v>14.9</v>
      </c>
      <c r="BR20" s="16">
        <f>'Data For Analysis'!BR20-'Data For Analysis'!BR19</f>
        <v>28.167000000000002</v>
      </c>
      <c r="BS20" s="16">
        <f>'Data For Analysis'!BS20-'Data For Analysis'!BS19</f>
        <v>39.274000000000001</v>
      </c>
      <c r="BT20" s="16">
        <f>'Data For Analysis'!BT20-'Data For Analysis'!BT19</f>
        <v>32.716999999999999</v>
      </c>
      <c r="BU20" s="16">
        <f>'Data For Analysis'!BU20-'Data For Analysis'!BU19</f>
        <v>43.534000000000006</v>
      </c>
      <c r="BV20" s="16">
        <f>'Data For Analysis'!BV20-'Data For Analysis'!BV19</f>
        <v>29.367000000000001</v>
      </c>
      <c r="BW20" s="16">
        <f>'Data For Analysis'!BW20-'Data For Analysis'!BW19</f>
        <v>36.266999999999996</v>
      </c>
      <c r="BX20" s="16">
        <f>'Data For Analysis'!BX20-'Data For Analysis'!BX19</f>
        <v>1.3659999999999997</v>
      </c>
      <c r="BY20" s="16">
        <f>'Data For Analysis'!BY20-'Data For Analysis'!BY19</f>
        <v>3.1000000000000005</v>
      </c>
      <c r="BZ20" s="16">
        <f>'Data For Analysis'!BZ20-'Data For Analysis'!BZ19</f>
        <v>19.316000000000003</v>
      </c>
      <c r="CA20" s="16">
        <f>'Data For Analysis'!CA20-'Data For Analysis'!CA19</f>
        <v>2.0170000000000003</v>
      </c>
      <c r="CB20" s="16">
        <f>'Data For Analysis'!CB20-'Data For Analysis'!CB19</f>
        <v>36.917000000000002</v>
      </c>
      <c r="CC20" s="16">
        <f>'Data For Analysis'!CC20-'Data For Analysis'!CC19</f>
        <v>27.632999999999999</v>
      </c>
      <c r="CD20" s="16">
        <f>'Data For Analysis'!CD20-'Data For Analysis'!CD19</f>
        <v>26.818000000000001</v>
      </c>
      <c r="CE20" s="16">
        <f>'Data For Analysis'!CE20-'Data For Analysis'!CE19</f>
        <v>4.8162999999999991</v>
      </c>
      <c r="CF20" s="16">
        <f>'Data For Analysis'!CF20-'Data For Analysis'!CF19</f>
        <v>2</v>
      </c>
      <c r="CG20" s="16">
        <f>'Data For Analysis'!CG20-'Data For Analysis'!CG19</f>
        <v>36.5</v>
      </c>
      <c r="CH20" s="16">
        <f>'Data For Analysis'!CH20-'Data For Analysis'!CH19</f>
        <v>17.116999999999997</v>
      </c>
      <c r="CI20" s="16">
        <f>'Data For Analysis'!CI20-'Data For Analysis'!CI19</f>
        <v>50</v>
      </c>
      <c r="CJ20" s="16">
        <f>'Data For Analysis'!CJ20-'Data For Analysis'!CJ19</f>
        <v>22.416</v>
      </c>
      <c r="CK20" s="16">
        <f>'Data For Analysis'!CK20-'Data For Analysis'!CK19</f>
        <v>43</v>
      </c>
      <c r="CL20" s="16">
        <f>'Data For Analysis'!CL20-'Data For Analysis'!CL19</f>
        <v>46.786000000000001</v>
      </c>
      <c r="CM20" s="16">
        <f>'Data For Analysis'!CM20-'Data For Analysis'!CM19</f>
        <v>18.499699999999997</v>
      </c>
      <c r="CN20" s="16"/>
      <c r="CO20" s="16"/>
      <c r="CP20" s="16"/>
      <c r="CQ20" s="16"/>
      <c r="CR20" s="16"/>
      <c r="CS20" s="16"/>
      <c r="CT20" s="16"/>
    </row>
    <row r="21" spans="1:98" x14ac:dyDescent="0.25">
      <c r="B21" s="1" t="str">
        <f>'Data For Analysis'!B21</f>
        <v>3.g.</v>
      </c>
      <c r="C21" s="6" t="str">
        <f>'Data For Analysis'!C21</f>
        <v>Direct</v>
      </c>
      <c r="D21" s="16">
        <f>'Data For Analysis'!D21-'Data For Analysis'!D20</f>
        <v>2.3833333333333329</v>
      </c>
      <c r="E21" s="16">
        <f>'Data For Analysis'!E21-'Data For Analysis'!E20</f>
        <v>0.40000000000000568</v>
      </c>
      <c r="F21" s="16">
        <f>'Data For Analysis'!F21-'Data For Analysis'!F20</f>
        <v>0</v>
      </c>
      <c r="G21" s="16">
        <f>'Data For Analysis'!G21-'Data For Analysis'!G20</f>
        <v>1.666999999999998</v>
      </c>
      <c r="H21" s="16">
        <f>'Data For Analysis'!H21-'Data For Analysis'!H20</f>
        <v>0.19999999999999929</v>
      </c>
      <c r="I21" s="16">
        <f>'Data For Analysis'!I21-'Data For Analysis'!I20</f>
        <v>0</v>
      </c>
      <c r="J21" s="16">
        <f>'Data For Analysis'!J21-'Data For Analysis'!J20</f>
        <v>0.5833333333333357</v>
      </c>
      <c r="K21" s="16">
        <f>'Data For Analysis'!K21-'Data For Analysis'!K20</f>
        <v>2.8329999999999984</v>
      </c>
      <c r="L21" s="16">
        <f>'Data For Analysis'!L21-'Data For Analysis'!L20</f>
        <v>0.48199999999999932</v>
      </c>
      <c r="M21" s="16">
        <f>'Data For Analysis'!M21-'Data For Analysis'!M20</f>
        <v>1</v>
      </c>
      <c r="N21" s="16">
        <f>'Data For Analysis'!N21-'Data For Analysis'!N20</f>
        <v>0.95000000000000284</v>
      </c>
      <c r="O21" s="16">
        <f>'Data For Analysis'!O21-'Data For Analysis'!O20</f>
        <v>0.5</v>
      </c>
      <c r="P21" s="16">
        <f>'Data For Analysis'!P21-'Data For Analysis'!P20</f>
        <v>0.61599999999999966</v>
      </c>
      <c r="Q21" s="16">
        <f>'Data For Analysis'!Q21-'Data For Analysis'!Q20</f>
        <v>4.1159999999999997</v>
      </c>
      <c r="R21" s="16">
        <f>'Data For Analysis'!R21-'Data For Analysis'!R20</f>
        <v>0.16699999999999982</v>
      </c>
      <c r="S21" s="16">
        <f>'Data For Analysis'!S21-'Data For Analysis'!S20</f>
        <v>2.2300000000000004</v>
      </c>
      <c r="T21" s="16">
        <f>'Data For Analysis'!T21-'Data For Analysis'!T20</f>
        <v>0.66700000000000159</v>
      </c>
      <c r="U21" s="16">
        <f>'Data For Analysis'!U21-'Data For Analysis'!U20</f>
        <v>0.61699999999999733</v>
      </c>
      <c r="V21" s="16">
        <f>'Data For Analysis'!V21-'Data For Analysis'!V20</f>
        <v>2.7330000000000041</v>
      </c>
      <c r="W21" s="16">
        <f>'Data For Analysis'!W21-'Data For Analysis'!W20</f>
        <v>1.1999999999999993</v>
      </c>
      <c r="X21" s="16">
        <f>'Data For Analysis'!X21-'Data For Analysis'!X20</f>
        <v>0</v>
      </c>
      <c r="Y21" s="16">
        <f>'Data For Analysis'!Y21-'Data For Analysis'!Y20</f>
        <v>4.232999999999997</v>
      </c>
      <c r="Z21" s="16">
        <f>'Data For Analysis'!Z21-'Data For Analysis'!Z20</f>
        <v>1.3170000000000002</v>
      </c>
      <c r="AA21" s="16">
        <f>'Data For Analysis'!AA21-'Data For Analysis'!AA20</f>
        <v>2.5500000000000007</v>
      </c>
      <c r="AB21" s="16">
        <f>'Data For Analysis'!AB21-'Data For Analysis'!AB20</f>
        <v>1.2839999999999989</v>
      </c>
      <c r="AC21" s="16">
        <f>'Data For Analysis'!AC21-'Data For Analysis'!AC20</f>
        <v>0.71570000000000178</v>
      </c>
      <c r="AD21" s="16">
        <f>'Data For Analysis'!AD21-'Data For Analysis'!AD20</f>
        <v>0.53100000000000236</v>
      </c>
      <c r="AE21" s="16">
        <f>'Data For Analysis'!AE21-'Data For Analysis'!AE20</f>
        <v>1.1499999999999986</v>
      </c>
      <c r="AF21" s="16">
        <f>'Data For Analysis'!AF21-'Data For Analysis'!AF20</f>
        <v>1.1499999999999986</v>
      </c>
      <c r="AG21" s="16">
        <f>'Data For Analysis'!AG21-'Data For Analysis'!AG20</f>
        <v>0.75</v>
      </c>
      <c r="AH21" s="16">
        <f>'Data For Analysis'!AH21-'Data For Analysis'!AH20</f>
        <v>3.0169999999999995</v>
      </c>
      <c r="AI21" s="16">
        <f>'Data For Analysis'!AI21-'Data For Analysis'!AI20</f>
        <v>19.882999999999999</v>
      </c>
      <c r="AJ21" s="16">
        <f>'Data For Analysis'!AJ21-'Data For Analysis'!AJ20</f>
        <v>0.46699999999999875</v>
      </c>
      <c r="AK21" s="16">
        <f>'Data For Analysis'!AK21-'Data For Analysis'!AK20</f>
        <v>4.2659999999999982</v>
      </c>
      <c r="AL21" s="16">
        <f>'Data For Analysis'!AL21-'Data For Analysis'!AL20</f>
        <v>0.83400000000000318</v>
      </c>
      <c r="AM21" s="16">
        <f>'Data For Analysis'!AM21-'Data For Analysis'!AM20</f>
        <v>1.1670000000000016</v>
      </c>
      <c r="AN21" s="16">
        <f>'Data For Analysis'!AN21-'Data For Analysis'!AN20</f>
        <v>0</v>
      </c>
      <c r="AO21" s="16">
        <f>'Data For Analysis'!AO21-'Data For Analysis'!AO20</f>
        <v>1.0659999999999954</v>
      </c>
      <c r="AP21" s="16">
        <f>'Data For Analysis'!AP21-'Data For Analysis'!AP20</f>
        <v>1.583000000000002</v>
      </c>
      <c r="AQ21" s="16">
        <f>'Data For Analysis'!AQ21-'Data For Analysis'!AQ20</f>
        <v>0</v>
      </c>
      <c r="AR21" s="16">
        <f>'Data For Analysis'!AR21-'Data For Analysis'!AR20</f>
        <v>2.1169999999999973</v>
      </c>
      <c r="AS21" s="16">
        <f>'Data For Analysis'!AS21-'Data For Analysis'!AS20</f>
        <v>2.8999999999999986</v>
      </c>
      <c r="AT21" s="16">
        <f>'Data For Analysis'!AT21-'Data For Analysis'!AT20</f>
        <v>1.0999999999999943</v>
      </c>
      <c r="AU21" s="16">
        <f>'Data For Analysis'!AU21-'Data For Analysis'!AU20</f>
        <v>1.3500000000000014</v>
      </c>
      <c r="AV21" s="16">
        <f>'Data For Analysis'!AV21-'Data For Analysis'!AV20</f>
        <v>1.9959999999999987</v>
      </c>
      <c r="AW21" s="16">
        <f>'Data For Analysis'!AW21-'Data For Analysis'!AW20</f>
        <v>2.5</v>
      </c>
      <c r="AX21" s="16">
        <f>'Data For Analysis'!AX21-'Data For Analysis'!AX20</f>
        <v>6.5</v>
      </c>
      <c r="AY21" s="16">
        <f>'Data For Analysis'!AY21-'Data For Analysis'!AY20</f>
        <v>0.5</v>
      </c>
      <c r="AZ21" s="16">
        <f>'Data For Analysis'!AZ21-'Data For Analysis'!AZ20</f>
        <v>0.41700000000000159</v>
      </c>
      <c r="BA21" s="16">
        <f>'Data For Analysis'!BA21-'Data For Analysis'!BA20</f>
        <v>1.0832999999999942</v>
      </c>
      <c r="BB21" s="16">
        <f>'Data For Analysis'!BB21-'Data For Analysis'!BB20</f>
        <v>0.35000000000000142</v>
      </c>
      <c r="BC21" s="16">
        <f>'Data For Analysis'!BC21-'Data For Analysis'!BC20</f>
        <v>1.75</v>
      </c>
      <c r="BD21" s="16">
        <f>'Data For Analysis'!BD21-'Data For Analysis'!BD20</f>
        <v>2.7830000000000013</v>
      </c>
      <c r="BE21" s="16">
        <f>'Data For Analysis'!BE21-'Data For Analysis'!BE20</f>
        <v>2.8500000000000014</v>
      </c>
      <c r="BF21" s="16">
        <f>'Data For Analysis'!BF21-'Data For Analysis'!BF20</f>
        <v>2.5670000000000002</v>
      </c>
      <c r="BG21" s="16">
        <f>'Data For Analysis'!BG21-'Data For Analysis'!BG20</f>
        <v>0</v>
      </c>
      <c r="BH21" s="16">
        <f>'Data For Analysis'!BH21-'Data For Analysis'!BH20</f>
        <v>3.0670000000000002</v>
      </c>
      <c r="BI21" s="16">
        <f>'Data For Analysis'!BI21-'Data For Analysis'!BI20</f>
        <v>0.31000000000000227</v>
      </c>
      <c r="BJ21" s="16">
        <f>'Data For Analysis'!BJ21-'Data For Analysis'!BJ20</f>
        <v>1.4159999999999968</v>
      </c>
      <c r="BK21" s="16">
        <f>'Data For Analysis'!BK21-'Data For Analysis'!BK20</f>
        <v>1.5829999999999984</v>
      </c>
      <c r="BL21" s="16">
        <f>'Data For Analysis'!BL21-'Data For Analysis'!BL20</f>
        <v>0</v>
      </c>
      <c r="BM21" s="16">
        <f>'Data For Analysis'!BM21-'Data For Analysis'!BM20</f>
        <v>0</v>
      </c>
      <c r="BN21" s="16">
        <f>'Data For Analysis'!BN21-'Data For Analysis'!BN20</f>
        <v>0.16670000000000229</v>
      </c>
      <c r="BO21" s="16">
        <f>'Data For Analysis'!BO21-'Data For Analysis'!BO20</f>
        <v>1.5</v>
      </c>
      <c r="BP21" s="16">
        <f>'Data For Analysis'!BP21-'Data For Analysis'!BP20</f>
        <v>5.2829999999999941</v>
      </c>
      <c r="BQ21" s="16">
        <f>'Data For Analysis'!BQ21-'Data For Analysis'!BQ20</f>
        <v>0.60000000000000142</v>
      </c>
      <c r="BR21" s="16">
        <f>'Data For Analysis'!BR21-'Data For Analysis'!BR20</f>
        <v>1.8999999999999986</v>
      </c>
      <c r="BS21" s="16">
        <f>'Data For Analysis'!BS21-'Data For Analysis'!BS20</f>
        <v>0.18299999999999983</v>
      </c>
      <c r="BT21" s="16">
        <f>'Data For Analysis'!BT21-'Data For Analysis'!BT20</f>
        <v>7.8830000000000027</v>
      </c>
      <c r="BU21" s="16">
        <f>'Data For Analysis'!BU21-'Data For Analysis'!BU20</f>
        <v>2.0829999999999984</v>
      </c>
      <c r="BV21" s="16">
        <f>'Data For Analysis'!BV21-'Data For Analysis'!BV20</f>
        <v>0</v>
      </c>
      <c r="BW21" s="16">
        <f>'Data For Analysis'!BW21-'Data For Analysis'!BW20</f>
        <v>0</v>
      </c>
      <c r="BX21" s="16">
        <f>'Data For Analysis'!BX21-'Data For Analysis'!BX20</f>
        <v>7.7</v>
      </c>
      <c r="BY21" s="16">
        <f>'Data For Analysis'!BY21-'Data For Analysis'!BY20</f>
        <v>0.5</v>
      </c>
      <c r="BZ21" s="16">
        <f>'Data For Analysis'!BZ21-'Data For Analysis'!BZ20</f>
        <v>0</v>
      </c>
      <c r="CA21" s="16">
        <f>'Data For Analysis'!CA21-'Data For Analysis'!CA20</f>
        <v>0.69969999999999999</v>
      </c>
      <c r="CB21" s="16">
        <f>'Data For Analysis'!CB21-'Data For Analysis'!CB20</f>
        <v>0.66700000000000159</v>
      </c>
      <c r="CC21" s="16">
        <f>'Data For Analysis'!CC21-'Data For Analysis'!CC20</f>
        <v>0</v>
      </c>
      <c r="CD21" s="16">
        <f>'Data For Analysis'!CD21-'Data For Analysis'!CD20</f>
        <v>4.5829999999999984</v>
      </c>
      <c r="CE21" s="16">
        <f>'Data For Analysis'!CE21-'Data For Analysis'!CE20</f>
        <v>0.4997000000000007</v>
      </c>
      <c r="CF21" s="16">
        <f>'Data For Analysis'!CF21-'Data For Analysis'!CF20</f>
        <v>0.55000000000000071</v>
      </c>
      <c r="CG21" s="16">
        <f>'Data For Analysis'!CG21-'Data For Analysis'!CG20</f>
        <v>1.0330000000000013</v>
      </c>
      <c r="CH21" s="16">
        <f>'Data For Analysis'!CH21-'Data For Analysis'!CH20</f>
        <v>1.0160000000000018</v>
      </c>
      <c r="CI21" s="16">
        <f>'Data For Analysis'!CI21-'Data For Analysis'!CI20</f>
        <v>2</v>
      </c>
      <c r="CJ21" s="16">
        <f>'Data For Analysis'!CJ21-'Data For Analysis'!CJ20</f>
        <v>0</v>
      </c>
      <c r="CK21" s="16">
        <f>'Data For Analysis'!CK21-'Data For Analysis'!CK20</f>
        <v>3</v>
      </c>
      <c r="CL21" s="16">
        <f>'Data For Analysis'!CL21-'Data For Analysis'!CL20</f>
        <v>3.1000000000000014</v>
      </c>
      <c r="CM21" s="16">
        <f>'Data For Analysis'!CM21-'Data For Analysis'!CM20</f>
        <v>0.75030000000000285</v>
      </c>
      <c r="CN21" s="16"/>
      <c r="CO21" s="16"/>
      <c r="CP21" s="16"/>
      <c r="CQ21" s="16"/>
      <c r="CR21" s="16"/>
      <c r="CS21" s="16"/>
      <c r="CT21" s="16"/>
    </row>
    <row r="22" spans="1:98" x14ac:dyDescent="0.25">
      <c r="B22" s="1" t="str">
        <f>'Data For Analysis'!B22</f>
        <v>3.h.</v>
      </c>
      <c r="C22" s="6" t="str">
        <f>'Data For Analysis'!C22</f>
        <v>Travel (Internal)</v>
      </c>
      <c r="D22" s="16">
        <f>IF('Data For Analysis'!D22&gt;'Data For Analysis'!D23,'Data For Analysis'!D22-'Data For Analysis'!D23,'Data For Analysis'!D22-'Data For Analysis'!D21)</f>
        <v>2.4833333333333343</v>
      </c>
      <c r="E22" s="16">
        <f>IF('Data For Analysis'!E22&gt;'Data For Analysis'!E23,'Data For Analysis'!E22-'Data For Analysis'!E23,'Data For Analysis'!E22-'Data For Analysis'!E21)</f>
        <v>0.69999999999999574</v>
      </c>
      <c r="F22" s="16">
        <f>IF('Data For Analysis'!F22&gt;'Data For Analysis'!F23,'Data For Analysis'!F22-'Data For Analysis'!F23,'Data For Analysis'!F22-'Data For Analysis'!F21)</f>
        <v>0.25</v>
      </c>
      <c r="G22" s="16">
        <f>IF('Data For Analysis'!G22&gt;'Data For Analysis'!G23,'Data For Analysis'!G22-'Data For Analysis'!G23,'Data For Analysis'!G22-'Data For Analysis'!G21)</f>
        <v>3.9330000000000034</v>
      </c>
      <c r="H22" s="16">
        <f>IF('Data For Analysis'!H22&gt;'Data For Analysis'!H23,'Data For Analysis'!H22-'Data For Analysis'!H23,'Data For Analysis'!H22-'Data For Analysis'!H21)</f>
        <v>0.55000000000000071</v>
      </c>
      <c r="I22" s="16">
        <f>IF('Data For Analysis'!I22&gt;'Data For Analysis'!I23,'Data For Analysis'!I22-'Data For Analysis'!I23,'Data For Analysis'!I22-'Data For Analysis'!I21)</f>
        <v>5.283333333333335</v>
      </c>
      <c r="J22" s="16">
        <f>IF('Data For Analysis'!J22&gt;'Data For Analysis'!J23,'Data For Analysis'!J22-'Data For Analysis'!J23,'Data For Analysis'!J22-'Data For Analysis'!J21)</f>
        <v>0.75</v>
      </c>
      <c r="K22" s="16">
        <f>IF('Data For Analysis'!K22&gt;'Data For Analysis'!K23,'Data For Analysis'!K22-'Data For Analysis'!K23,'Data For Analysis'!K22-'Data For Analysis'!K21)</f>
        <v>3.75</v>
      </c>
      <c r="L22" s="16">
        <f>IF('Data For Analysis'!L22&gt;'Data For Analysis'!L23,'Data For Analysis'!L22-'Data For Analysis'!L23,'Data For Analysis'!L22-'Data For Analysis'!L21)</f>
        <v>0.36700000000000088</v>
      </c>
      <c r="M22" s="16">
        <f>IF('Data For Analysis'!M22&gt;'Data For Analysis'!M23,'Data For Analysis'!M22-'Data For Analysis'!M23,'Data For Analysis'!M22-'Data For Analysis'!M21)</f>
        <v>1</v>
      </c>
      <c r="N22" s="16">
        <f>IF('Data For Analysis'!N22&gt;'Data For Analysis'!N23,'Data For Analysis'!N22-'Data For Analysis'!N23,'Data For Analysis'!N22-'Data For Analysis'!N21)</f>
        <v>0.81629999999999825</v>
      </c>
      <c r="O22" s="16">
        <f>IF('Data For Analysis'!O22&gt;'Data For Analysis'!O23,'Data For Analysis'!O22-'Data For Analysis'!O23,'Data For Analysis'!O22-'Data For Analysis'!O21)</f>
        <v>0.58299999999999841</v>
      </c>
      <c r="P22" s="16">
        <f>IF('Data For Analysis'!P22&gt;'Data For Analysis'!P23,'Data For Analysis'!P22-'Data For Analysis'!P23,'Data For Analysis'!P22-'Data For Analysis'!P21)</f>
        <v>0.16700000000000159</v>
      </c>
      <c r="Q22" s="16">
        <f>IF('Data For Analysis'!Q22&gt;'Data For Analysis'!Q23,'Data For Analysis'!Q22-'Data For Analysis'!Q23,'Data For Analysis'!Q22-'Data For Analysis'!Q21)</f>
        <v>2.4340000000000046</v>
      </c>
      <c r="R22" s="16">
        <f>IF('Data For Analysis'!R22&gt;'Data For Analysis'!R23,'Data For Analysis'!R22-'Data For Analysis'!R23,'Data For Analysis'!R22-'Data For Analysis'!R21)</f>
        <v>2.5</v>
      </c>
      <c r="S22" s="16">
        <f>IF('Data For Analysis'!S22&gt;'Data For Analysis'!S23,'Data For Analysis'!S22-'Data For Analysis'!S23,'Data For Analysis'!S22-'Data For Analysis'!S21)</f>
        <v>0.47000000000000242</v>
      </c>
      <c r="T22" s="16">
        <f>IF('Data For Analysis'!T22&gt;'Data For Analysis'!T23,'Data For Analysis'!T22-'Data For Analysis'!T23,'Data For Analysis'!T22-'Data For Analysis'!T21)</f>
        <v>0.66700000000000159</v>
      </c>
      <c r="U22" s="16">
        <f>IF('Data For Analysis'!U22&gt;'Data For Analysis'!U23,'Data For Analysis'!U22-'Data For Analysis'!U23,'Data For Analysis'!U22-'Data For Analysis'!U21)</f>
        <v>0</v>
      </c>
      <c r="V22" s="16">
        <f>IF('Data For Analysis'!V22&gt;'Data For Analysis'!V23,'Data For Analysis'!V22-'Data For Analysis'!V23,'Data For Analysis'!V22-'Data For Analysis'!V21)</f>
        <v>2.4339999999999975</v>
      </c>
      <c r="W22" s="16">
        <f>IF('Data For Analysis'!W22&gt;'Data For Analysis'!W23,'Data For Analysis'!W22-'Data For Analysis'!W23,'Data For Analysis'!W22-'Data For Analysis'!W21)</f>
        <v>2.6840000000000011</v>
      </c>
      <c r="X22" s="16">
        <f>IF('Data For Analysis'!X22&gt;'Data For Analysis'!X23,'Data For Analysis'!X22-'Data For Analysis'!X23,'Data For Analysis'!X22-'Data For Analysis'!X21)</f>
        <v>0.44999999999999929</v>
      </c>
      <c r="Y22" s="16">
        <f>IF('Data For Analysis'!Y22&gt;'Data For Analysis'!Y23,'Data For Analysis'!Y22-'Data For Analysis'!Y23,'Data For Analysis'!Y22-'Data For Analysis'!Y21)</f>
        <v>3.7170000000000059</v>
      </c>
      <c r="Z22" s="16">
        <f>IF('Data For Analysis'!Z22&gt;'Data For Analysis'!Z23,'Data For Analysis'!Z22-'Data For Analysis'!Z23,'Data For Analysis'!Z22-'Data For Analysis'!Z21)</f>
        <v>1.4659999999999975</v>
      </c>
      <c r="AA22" s="16">
        <f>IF('Data For Analysis'!AA22&gt;'Data For Analysis'!AA23,'Data For Analysis'!AA22-'Data For Analysis'!AA23,'Data For Analysis'!AA22-'Data For Analysis'!AA21)</f>
        <v>0.33300000000000018</v>
      </c>
      <c r="AB22" s="16">
        <f>IF('Data For Analysis'!AB22&gt;'Data For Analysis'!AB23,'Data For Analysis'!AB22-'Data For Analysis'!AB23,'Data For Analysis'!AB22-'Data For Analysis'!AB21)</f>
        <v>2.6662999999999997</v>
      </c>
      <c r="AC22" s="16">
        <f>IF('Data For Analysis'!AC22&gt;'Data For Analysis'!AC23,'Data For Analysis'!AC22-'Data For Analysis'!AC23,'Data For Analysis'!AC22-'Data For Analysis'!AC21)</f>
        <v>0.41399999999999793</v>
      </c>
      <c r="AD22" s="16">
        <f>IF('Data For Analysis'!AD22&gt;'Data For Analysis'!AD23,'Data For Analysis'!AD22-'Data For Analysis'!AD23,'Data For Analysis'!AD22-'Data For Analysis'!AD21)</f>
        <v>1.1519999999999975</v>
      </c>
      <c r="AE22" s="16">
        <f>IF('Data For Analysis'!AE22&gt;'Data For Analysis'!AE23,'Data For Analysis'!AE22-'Data For Analysis'!AE23,'Data For Analysis'!AE22-'Data For Analysis'!AE21)</f>
        <v>5.1170000000000044</v>
      </c>
      <c r="AF22" s="16">
        <f>IF('Data For Analysis'!AF22&gt;'Data For Analysis'!AF23,'Data For Analysis'!AF22-'Data For Analysis'!AF23,'Data For Analysis'!AF22-'Data For Analysis'!AF21)</f>
        <v>2.6000000000000014</v>
      </c>
      <c r="AG22" s="16">
        <f>IF('Data For Analysis'!AG22&gt;'Data For Analysis'!AG23,'Data For Analysis'!AG22-'Data For Analysis'!AG23,'Data For Analysis'!AG22-'Data For Analysis'!AG21)</f>
        <v>5.0499999999999972</v>
      </c>
      <c r="AH22" s="16">
        <f>IF('Data For Analysis'!AH22&gt;'Data For Analysis'!AH23,'Data For Analysis'!AH22-'Data For Analysis'!AH23,'Data For Analysis'!AH22-'Data For Analysis'!AH21)</f>
        <v>1.1829999999999998</v>
      </c>
      <c r="AI22" s="16">
        <f>IF('Data For Analysis'!AI22&gt;'Data For Analysis'!AI23,'Data For Analysis'!AI22-'Data For Analysis'!AI23,'Data For Analysis'!AI22-'Data For Analysis'!AI21)</f>
        <v>8.3300000000001262E-2</v>
      </c>
      <c r="AJ22" s="16">
        <f>IF('Data For Analysis'!AJ22&gt;'Data For Analysis'!AJ23,'Data For Analysis'!AJ22-'Data For Analysis'!AJ23,'Data For Analysis'!AJ22-'Data For Analysis'!AJ21)</f>
        <v>2.4500000000000028</v>
      </c>
      <c r="AK22" s="16">
        <f>IF('Data For Analysis'!AK22&gt;'Data For Analysis'!AK23,'Data For Analysis'!AK22-'Data For Analysis'!AK23,'Data For Analysis'!AK22-'Data For Analysis'!AK21)</f>
        <v>2.8000000000000043</v>
      </c>
      <c r="AL22" s="16">
        <f>IF('Data For Analysis'!AL22&gt;'Data For Analysis'!AL23,'Data For Analysis'!AL22-'Data For Analysis'!AL23,'Data For Analysis'!AL22-'Data For Analysis'!AL21)</f>
        <v>1.1159999999999997</v>
      </c>
      <c r="AM22" s="16">
        <f>IF('Data For Analysis'!AM22&gt;'Data For Analysis'!AM23,'Data For Analysis'!AM22-'Data For Analysis'!AM23,'Data For Analysis'!AM22-'Data For Analysis'!AM21)</f>
        <v>1.1499999999999986</v>
      </c>
      <c r="AN22" s="16">
        <f>IF('Data For Analysis'!AN22&gt;'Data For Analysis'!AN23,'Data For Analysis'!AN22-'Data For Analysis'!AN23,'Data For Analysis'!AN22-'Data For Analysis'!AN21)</f>
        <v>0.85000000000000142</v>
      </c>
      <c r="AO22" s="16">
        <f>IF('Data For Analysis'!AO22&gt;'Data For Analysis'!AO23,'Data For Analysis'!AO22-'Data For Analysis'!AO23,'Data For Analysis'!AO22-'Data For Analysis'!AO21)</f>
        <v>2.0840000000000032</v>
      </c>
      <c r="AP22" s="16">
        <f>IF('Data For Analysis'!AP22&gt;'Data For Analysis'!AP23,'Data For Analysis'!AP22-'Data For Analysis'!AP23,'Data For Analysis'!AP22-'Data For Analysis'!AP21)</f>
        <v>0.48300000000000409</v>
      </c>
      <c r="AQ22" s="16">
        <f>IF('Data For Analysis'!AQ22&gt;'Data For Analysis'!AQ23,'Data For Analysis'!AQ22-'Data For Analysis'!AQ23,'Data For Analysis'!AQ22-'Data For Analysis'!AQ21)</f>
        <v>2.9162999999999997</v>
      </c>
      <c r="AR22" s="16">
        <f>IF('Data For Analysis'!AR22&gt;'Data For Analysis'!AR23,'Data For Analysis'!AR22-'Data For Analysis'!AR23,'Data For Analysis'!AR22-'Data For Analysis'!AR21)</f>
        <v>3.9660000000000011</v>
      </c>
      <c r="AS22" s="16">
        <f>IF('Data For Analysis'!AS22&gt;'Data For Analysis'!AS23,'Data For Analysis'!AS22-'Data For Analysis'!AS23,'Data For Analysis'!AS22-'Data For Analysis'!AS21)</f>
        <v>1.4170000000000016</v>
      </c>
      <c r="AT22" s="16">
        <f>IF('Data For Analysis'!AT22&gt;'Data For Analysis'!AT23,'Data For Analysis'!AT22-'Data For Analysis'!AT23,'Data For Analysis'!AT22-'Data For Analysis'!AT21)</f>
        <v>3.6000000000000014</v>
      </c>
      <c r="AU22" s="16">
        <f>IF('Data For Analysis'!AU22&gt;'Data For Analysis'!AU23,'Data For Analysis'!AU22-'Data For Analysis'!AU23,'Data For Analysis'!AU22-'Data For Analysis'!AU21)</f>
        <v>4.5</v>
      </c>
      <c r="AV22" s="16">
        <f>IF('Data For Analysis'!AV22&gt;'Data For Analysis'!AV23,'Data For Analysis'!AV22-'Data For Analysis'!AV23,'Data For Analysis'!AV22-'Data For Analysis'!AV21)</f>
        <v>0.36700000000000088</v>
      </c>
      <c r="AW22" s="16">
        <f>IF('Data For Analysis'!AW22&gt;'Data For Analysis'!AW23,'Data For Analysis'!AW22-'Data For Analysis'!AW23,'Data For Analysis'!AW22-'Data For Analysis'!AW21)</f>
        <v>0.5</v>
      </c>
      <c r="AX22" s="16">
        <f>IF('Data For Analysis'!AX22&gt;'Data For Analysis'!AX23,'Data For Analysis'!AX22-'Data For Analysis'!AX23,'Data For Analysis'!AX22-'Data For Analysis'!AX21)</f>
        <v>3.3329999999999984</v>
      </c>
      <c r="AY22" s="16">
        <f>IF('Data For Analysis'!AY22&gt;'Data For Analysis'!AY23,'Data For Analysis'!AY22-'Data For Analysis'!AY23,'Data For Analysis'!AY22-'Data For Analysis'!AY21)</f>
        <v>2</v>
      </c>
      <c r="AZ22" s="16">
        <f>IF('Data For Analysis'!AZ22&gt;'Data For Analysis'!AZ23,'Data For Analysis'!AZ22-'Data For Analysis'!AZ23,'Data For Analysis'!AZ22-'Data For Analysis'!AZ21)</f>
        <v>3.8999999999999986</v>
      </c>
      <c r="BA22" s="16">
        <f>IF('Data For Analysis'!BA22&gt;'Data For Analysis'!BA23,'Data For Analysis'!BA22-'Data For Analysis'!BA23,'Data For Analysis'!BA22-'Data For Analysis'!BA21)</f>
        <v>1.5837000000000003</v>
      </c>
      <c r="BB22" s="16">
        <f>IF('Data For Analysis'!BB22&gt;'Data For Analysis'!BB23,'Data For Analysis'!BB22-'Data For Analysis'!BB23,'Data For Analysis'!BB22-'Data For Analysis'!BB21)</f>
        <v>0.75</v>
      </c>
      <c r="BC22" s="16">
        <f>IF('Data For Analysis'!BC22&gt;'Data For Analysis'!BC23,'Data For Analysis'!BC22-'Data For Analysis'!BC23,'Data For Analysis'!BC22-'Data For Analysis'!BC21)</f>
        <v>2.0339999999999989</v>
      </c>
      <c r="BD22" s="16">
        <f>IF('Data For Analysis'!BD22&gt;'Data For Analysis'!BD23,'Data For Analysis'!BD22-'Data For Analysis'!BD23,'Data For Analysis'!BD22-'Data For Analysis'!BD21)</f>
        <v>2.7000000000000028</v>
      </c>
      <c r="BE22" s="16">
        <f>IF('Data For Analysis'!BE22&gt;'Data For Analysis'!BE23,'Data For Analysis'!BE22-'Data For Analysis'!BE23,'Data For Analysis'!BE22-'Data For Analysis'!BE21)</f>
        <v>2.7340000000000018</v>
      </c>
      <c r="BF22" s="16">
        <f>IF('Data For Analysis'!BF22&gt;'Data For Analysis'!BF23,'Data For Analysis'!BF22-'Data For Analysis'!BF23,'Data For Analysis'!BF22-'Data For Analysis'!BF21)</f>
        <v>1.8829999999999991</v>
      </c>
      <c r="BG22" s="16">
        <f>IF('Data For Analysis'!BG22&gt;'Data For Analysis'!BG23,'Data For Analysis'!BG22-'Data For Analysis'!BG23,'Data For Analysis'!BG22-'Data For Analysis'!BG21)</f>
        <v>21.401000000000003</v>
      </c>
      <c r="BH22" s="16">
        <f>IF('Data For Analysis'!BH22&gt;'Data For Analysis'!BH23,'Data For Analysis'!BH22-'Data For Analysis'!BH23,'Data For Analysis'!BH22-'Data For Analysis'!BH21)</f>
        <v>0.55000000000000426</v>
      </c>
      <c r="BI22" s="16">
        <f>IF('Data For Analysis'!BI22&gt;'Data For Analysis'!BI23,'Data For Analysis'!BI22-'Data For Analysis'!BI23,'Data For Analysis'!BI22-'Data For Analysis'!BI21)</f>
        <v>0.71799999999999997</v>
      </c>
      <c r="BJ22" s="16">
        <f>IF('Data For Analysis'!BJ22&gt;'Data For Analysis'!BJ23,'Data For Analysis'!BJ22-'Data For Analysis'!BJ23,'Data For Analysis'!BJ22-'Data For Analysis'!BJ21)</f>
        <v>0.48300000000000054</v>
      </c>
      <c r="BK22" s="16">
        <f>IF('Data For Analysis'!BK22&gt;'Data For Analysis'!BK23,'Data For Analysis'!BK22-'Data For Analysis'!BK23,'Data For Analysis'!BK22-'Data For Analysis'!BK21)</f>
        <v>0.68299999999999983</v>
      </c>
      <c r="BL22" s="16">
        <f>IF('Data For Analysis'!BL22&gt;'Data For Analysis'!BL23,'Data For Analysis'!BL22-'Data For Analysis'!BL23,'Data For Analysis'!BL22-'Data For Analysis'!BL21)</f>
        <v>2.7189999999999941</v>
      </c>
      <c r="BM22" s="16">
        <f>IF('Data For Analysis'!BM22&gt;'Data For Analysis'!BM23,'Data For Analysis'!BM22-'Data For Analysis'!BM23,'Data For Analysis'!BM22-'Data For Analysis'!BM21)</f>
        <v>1.517000000000003</v>
      </c>
      <c r="BN22" s="16">
        <f>IF('Data For Analysis'!BN22&gt;'Data For Analysis'!BN23,'Data For Analysis'!BN22-'Data For Analysis'!BN23,'Data For Analysis'!BN22-'Data For Analysis'!BN21)</f>
        <v>0.16600000000000037</v>
      </c>
      <c r="BO22" s="16">
        <f>IF('Data For Analysis'!BO22&gt;'Data For Analysis'!BO23,'Data For Analysis'!BO22-'Data For Analysis'!BO23,'Data For Analysis'!BO22-'Data For Analysis'!BO21)</f>
        <v>1.0499999999999972</v>
      </c>
      <c r="BP22" s="16">
        <f>IF('Data For Analysis'!BP22&gt;'Data For Analysis'!BP23,'Data For Analysis'!BP22-'Data For Analysis'!BP23,'Data For Analysis'!BP22-'Data For Analysis'!BP21)</f>
        <v>7.6830000000000069</v>
      </c>
      <c r="BQ22" s="16">
        <f>IF('Data For Analysis'!BQ22&gt;'Data For Analysis'!BQ23,'Data For Analysis'!BQ22-'Data For Analysis'!BQ23,'Data For Analysis'!BQ22-'Data For Analysis'!BQ21)</f>
        <v>4.0159999999999982</v>
      </c>
      <c r="BR22" s="16">
        <f>IF('Data For Analysis'!BR22&gt;'Data For Analysis'!BR23,'Data For Analysis'!BR22-'Data For Analysis'!BR23,'Data For Analysis'!BR22-'Data For Analysis'!BR21)</f>
        <v>0.54999999999999716</v>
      </c>
      <c r="BS22" s="16">
        <f>IF('Data For Analysis'!BS22&gt;'Data For Analysis'!BS23,'Data For Analysis'!BS22-'Data For Analysis'!BS23,'Data For Analysis'!BS22-'Data For Analysis'!BS21)</f>
        <v>0.80000000000000426</v>
      </c>
      <c r="BT22" s="16">
        <f>IF('Data For Analysis'!BT22&gt;'Data For Analysis'!BT23,'Data For Analysis'!BT22-'Data For Analysis'!BT23,'Data For Analysis'!BT22-'Data For Analysis'!BT21)</f>
        <v>2.5</v>
      </c>
      <c r="BU22" s="16">
        <f>IF('Data For Analysis'!BU22&gt;'Data For Analysis'!BU23,'Data For Analysis'!BU22-'Data For Analysis'!BU23,'Data For Analysis'!BU22-'Data For Analysis'!BU21)</f>
        <v>5.1329999999999956</v>
      </c>
      <c r="BV22" s="16">
        <f>IF('Data For Analysis'!BV22&gt;'Data For Analysis'!BV23,'Data For Analysis'!BV22-'Data For Analysis'!BV23,'Data For Analysis'!BV22-'Data For Analysis'!BV21)</f>
        <v>0.16599999999999682</v>
      </c>
      <c r="BW22" s="16">
        <f>IF('Data For Analysis'!BW22&gt;'Data For Analysis'!BW23,'Data For Analysis'!BW22-'Data For Analysis'!BW23,'Data For Analysis'!BW22-'Data For Analysis'!BW21)</f>
        <v>4.0500000000000043</v>
      </c>
      <c r="BX22" s="16">
        <f>IF('Data For Analysis'!BX22&gt;'Data For Analysis'!BX23,'Data For Analysis'!BX22-'Data For Analysis'!BX23,'Data For Analysis'!BX22-'Data For Analysis'!BX21)</f>
        <v>2.0670000000000002</v>
      </c>
      <c r="BY22" s="16">
        <f>IF('Data For Analysis'!BY22&gt;'Data For Analysis'!BY23,'Data For Analysis'!BY22-'Data For Analysis'!BY23,'Data For Analysis'!BY22-'Data For Analysis'!BY21)</f>
        <v>0.5</v>
      </c>
      <c r="BZ22" s="16">
        <f>IF('Data For Analysis'!BZ22&gt;'Data For Analysis'!BZ23,'Data For Analysis'!BZ22-'Data For Analysis'!BZ23,'Data For Analysis'!BZ22-'Data For Analysis'!BZ21)</f>
        <v>3.7169999999999987</v>
      </c>
      <c r="CA22" s="16">
        <f>IF('Data For Analysis'!CA22&gt;'Data For Analysis'!CA23,'Data For Analysis'!CA22-'Data For Analysis'!CA23,'Data For Analysis'!CA22-'Data For Analysis'!CA21)</f>
        <v>0.50030000000000019</v>
      </c>
      <c r="CB22" s="16">
        <f>IF('Data For Analysis'!CB22&gt;'Data For Analysis'!CB23,'Data For Analysis'!CB22-'Data For Analysis'!CB23,'Data For Analysis'!CB22-'Data For Analysis'!CB21)</f>
        <v>1.482999999999997</v>
      </c>
      <c r="CC22" s="16">
        <f>IF('Data For Analysis'!CC22&gt;'Data For Analysis'!CC23,'Data For Analysis'!CC22-'Data For Analysis'!CC23,'Data For Analysis'!CC22-'Data For Analysis'!CC21)</f>
        <v>5.8999999999999986</v>
      </c>
      <c r="CD22" s="16">
        <f>IF('Data For Analysis'!CD22&gt;'Data For Analysis'!CD23,'Data For Analysis'!CD22-'Data For Analysis'!CD23,'Data For Analysis'!CD22-'Data For Analysis'!CD21)</f>
        <v>4.1000000000000014</v>
      </c>
      <c r="CE22" s="16">
        <f>IF('Data For Analysis'!CE22&gt;'Data For Analysis'!CE23,'Data For Analysis'!CE22-'Data For Analysis'!CE23,'Data For Analysis'!CE22-'Data For Analysis'!CE21)</f>
        <v>3.9999999999999982</v>
      </c>
      <c r="CF22" s="16">
        <f>IF('Data For Analysis'!CF22&gt;'Data For Analysis'!CF23,'Data For Analysis'!CF22-'Data For Analysis'!CF23,'Data For Analysis'!CF22-'Data For Analysis'!CF21)</f>
        <v>0.35000000000000142</v>
      </c>
      <c r="CG22" s="16">
        <f>IF('Data For Analysis'!CG22&gt;'Data For Analysis'!CG23,'Data For Analysis'!CG22-'Data For Analysis'!CG23,'Data For Analysis'!CG22-'Data For Analysis'!CG21)</f>
        <v>2.4329999999999998</v>
      </c>
      <c r="CH22" s="16">
        <f>IF('Data For Analysis'!CH22&gt;'Data For Analysis'!CH23,'Data For Analysis'!CH22-'Data For Analysis'!CH23,'Data For Analysis'!CH22-'Data For Analysis'!CH21)</f>
        <v>2.3669999999999973</v>
      </c>
      <c r="CI22" s="16">
        <f>IF('Data For Analysis'!CI22&gt;'Data For Analysis'!CI23,'Data For Analysis'!CI22-'Data For Analysis'!CI23,'Data For Analysis'!CI22-'Data For Analysis'!CI21)</f>
        <v>2.25</v>
      </c>
      <c r="CJ22" s="16">
        <f>IF('Data For Analysis'!CJ22&gt;'Data For Analysis'!CJ23,'Data For Analysis'!CJ22-'Data For Analysis'!CJ23,'Data For Analysis'!CJ22-'Data For Analysis'!CJ21)</f>
        <v>0.5</v>
      </c>
      <c r="CK22" s="16">
        <f>IF('Data For Analysis'!CK22&gt;'Data For Analysis'!CK23,'Data For Analysis'!CK22-'Data For Analysis'!CK23,'Data For Analysis'!CK22-'Data For Analysis'!CK21)</f>
        <v>1</v>
      </c>
      <c r="CL22" s="16">
        <f>IF('Data For Analysis'!CL22&gt;'Data For Analysis'!CL23,'Data For Analysis'!CL22-'Data For Analysis'!CL23,'Data For Analysis'!CL22-'Data For Analysis'!CL21)</f>
        <v>2.0330000000000013</v>
      </c>
      <c r="CM22" s="16">
        <f>IF('Data For Analysis'!CM22&gt;'Data For Analysis'!CM23,'Data For Analysis'!CM22-'Data For Analysis'!CM23,'Data For Analysis'!CM22-'Data For Analysis'!CM21)</f>
        <v>2</v>
      </c>
      <c r="CN22" s="16"/>
      <c r="CO22" s="16"/>
      <c r="CP22" s="16"/>
      <c r="CQ22" s="16"/>
      <c r="CR22" s="16"/>
      <c r="CS22" s="16"/>
      <c r="CT22" s="16"/>
    </row>
    <row r="23" spans="1:98" x14ac:dyDescent="0.25">
      <c r="B23" s="1" t="str">
        <f>'Data For Analysis'!B23</f>
        <v>3.i.</v>
      </c>
      <c r="C23" s="6" t="str">
        <f>'Data For Analysis'!C23</f>
        <v>Direct</v>
      </c>
      <c r="D23" s="16">
        <f>IF('Data For Analysis'!D23&gt;'Data For Analysis'!D22,'Data For Analysis'!D23-'Data For Analysis'!D22,'Data For Analysis'!D23-'Data For Analysis'!D21)</f>
        <v>1.7000000000000028</v>
      </c>
      <c r="E23" s="16">
        <f>IF('Data For Analysis'!E23&gt;'Data For Analysis'!E22,'Data For Analysis'!E23-'Data For Analysis'!E22,'Data For Analysis'!E23-'Data For Analysis'!E21)</f>
        <v>4.1829999999999998</v>
      </c>
      <c r="F23" s="16">
        <f>IF('Data For Analysis'!F23&gt;'Data For Analysis'!F22,'Data For Analysis'!F23-'Data For Analysis'!F22,'Data For Analysis'!F23-'Data For Analysis'!F21)</f>
        <v>6.0500000000000007</v>
      </c>
      <c r="G23" s="16">
        <f>IF('Data For Analysis'!G23&gt;'Data For Analysis'!G22,'Data For Analysis'!G23-'Data For Analysis'!G22,'Data For Analysis'!G23-'Data For Analysis'!G21)</f>
        <v>2.7339999999999947</v>
      </c>
      <c r="H23" s="16">
        <f>IF('Data For Analysis'!H23&gt;'Data For Analysis'!H22,'Data For Analysis'!H23-'Data For Analysis'!H22,'Data For Analysis'!H23-'Data For Analysis'!H21)</f>
        <v>0.5</v>
      </c>
      <c r="I23" s="16">
        <f>IF('Data For Analysis'!I23&gt;'Data For Analysis'!I22,'Data For Analysis'!I23-'Data For Analysis'!I22,'Data For Analysis'!I23-'Data For Analysis'!I21)</f>
        <v>2.4166666666666643</v>
      </c>
      <c r="J23" s="16">
        <f>IF('Data For Analysis'!J23&gt;'Data For Analysis'!J22,'Data For Analysis'!J23-'Data For Analysis'!J22,'Data For Analysis'!J23-'Data For Analysis'!J21)</f>
        <v>1.7999999999999972</v>
      </c>
      <c r="K23" s="16">
        <f>IF('Data For Analysis'!K23&gt;'Data For Analysis'!K22,'Data For Analysis'!K23-'Data For Analysis'!K22,'Data For Analysis'!K23-'Data For Analysis'!K21)</f>
        <v>2.9500000000000028</v>
      </c>
      <c r="L23" s="16">
        <f>IF('Data For Analysis'!L23&gt;'Data For Analysis'!L22,'Data For Analysis'!L23-'Data For Analysis'!L22,'Data For Analysis'!L23-'Data For Analysis'!L21)</f>
        <v>0.92899999999999849</v>
      </c>
      <c r="M23" s="16">
        <f>IF('Data For Analysis'!M23&gt;'Data For Analysis'!M22,'Data For Analysis'!M23-'Data For Analysis'!M22,'Data For Analysis'!M23-'Data For Analysis'!M21)</f>
        <v>1.5</v>
      </c>
      <c r="N23" s="16">
        <f>IF('Data For Analysis'!N23&gt;'Data For Analysis'!N22,'Data For Analysis'!N23-'Data For Analysis'!N22,'Data For Analysis'!N23-'Data For Analysis'!N21)</f>
        <v>1.8667000000000016</v>
      </c>
      <c r="O23" s="16">
        <f>IF('Data For Analysis'!O23&gt;'Data For Analysis'!O22,'Data For Analysis'!O23-'Data For Analysis'!O22,'Data For Analysis'!O23-'Data For Analysis'!O21)</f>
        <v>0.91700000000000159</v>
      </c>
      <c r="P23" s="16">
        <f>IF('Data For Analysis'!P23&gt;'Data For Analysis'!P22,'Data For Analysis'!P23-'Data For Analysis'!P22,'Data For Analysis'!P23-'Data For Analysis'!P21)</f>
        <v>6</v>
      </c>
      <c r="Q23" s="16">
        <f>IF('Data For Analysis'!Q23&gt;'Data For Analysis'!Q22,'Data For Analysis'!Q23-'Data For Analysis'!Q22,'Data For Analysis'!Q23-'Data For Analysis'!Q21)</f>
        <v>1.8329999999999984</v>
      </c>
      <c r="R23" s="16">
        <f>IF('Data For Analysis'!R23&gt;'Data For Analysis'!R22,'Data For Analysis'!R23-'Data For Analysis'!R22,'Data For Analysis'!R23-'Data For Analysis'!R21)</f>
        <v>4.25</v>
      </c>
      <c r="S23" s="16">
        <f>IF('Data For Analysis'!S23&gt;'Data For Analysis'!S22,'Data For Analysis'!S23-'Data For Analysis'!S22,'Data For Analysis'!S23-'Data For Analysis'!S21)</f>
        <v>0.55599999999999739</v>
      </c>
      <c r="T23" s="16">
        <f>IF('Data For Analysis'!T23&gt;'Data For Analysis'!T22,'Data For Analysis'!T23-'Data For Analysis'!T22,'Data For Analysis'!T23-'Data For Analysis'!T21)</f>
        <v>1.5</v>
      </c>
      <c r="U23" s="16">
        <f>IF('Data For Analysis'!U23&gt;'Data For Analysis'!U22,'Data For Analysis'!U23-'Data For Analysis'!U22,'Data For Analysis'!U23-'Data For Analysis'!U21)</f>
        <v>1.25</v>
      </c>
      <c r="V23" s="16">
        <f>IF('Data For Analysis'!V23&gt;'Data For Analysis'!V22,'Data For Analysis'!V23-'Data For Analysis'!V22,'Data For Analysis'!V23-'Data For Analysis'!V21)</f>
        <v>2.7660000000000053</v>
      </c>
      <c r="W23" s="16">
        <f>IF('Data For Analysis'!W23&gt;'Data For Analysis'!W22,'Data For Analysis'!W23-'Data For Analysis'!W22,'Data For Analysis'!W23-'Data For Analysis'!W21)</f>
        <v>1.6330000000000027</v>
      </c>
      <c r="X23" s="16">
        <f>IF('Data For Analysis'!X23&gt;'Data For Analysis'!X22,'Data For Analysis'!X23-'Data For Analysis'!X22,'Data For Analysis'!X23-'Data For Analysis'!X21)</f>
        <v>3.1670000000000016</v>
      </c>
      <c r="Y23" s="16">
        <f>IF('Data For Analysis'!Y23&gt;'Data For Analysis'!Y22,'Data For Analysis'!Y23-'Data For Analysis'!Y22,'Data For Analysis'!Y23-'Data For Analysis'!Y21)</f>
        <v>5.6829999999999998</v>
      </c>
      <c r="Z23" s="16">
        <f>IF('Data For Analysis'!Z23&gt;'Data For Analysis'!Z22,'Data For Analysis'!Z23-'Data For Analysis'!Z22,'Data For Analysis'!Z23-'Data For Analysis'!Z21)</f>
        <v>0.76700000000000301</v>
      </c>
      <c r="AA23" s="16">
        <f>IF('Data For Analysis'!AA23&gt;'Data For Analysis'!AA22,'Data For Analysis'!AA23-'Data For Analysis'!AA22,'Data For Analysis'!AA23-'Data For Analysis'!AA21)</f>
        <v>0.69999999999999929</v>
      </c>
      <c r="AB23" s="16">
        <f>IF('Data For Analysis'!AB23&gt;'Data For Analysis'!AB22,'Data For Analysis'!AB23-'Data For Analysis'!AB22,'Data For Analysis'!AB23-'Data For Analysis'!AB21)</f>
        <v>4.1666999999999987</v>
      </c>
      <c r="AC23" s="16">
        <f>IF('Data For Analysis'!AC23&gt;'Data For Analysis'!AC22,'Data For Analysis'!AC23-'Data For Analysis'!AC22,'Data For Analysis'!AC23-'Data For Analysis'!AC21)</f>
        <v>0.17530000000000001</v>
      </c>
      <c r="AD23" s="16">
        <f>IF('Data For Analysis'!AD23&gt;'Data For Analysis'!AD22,'Data For Analysis'!AD23-'Data For Analysis'!AD22,'Data For Analysis'!AD23-'Data For Analysis'!AD21)</f>
        <v>0.54500000000000171</v>
      </c>
      <c r="AE23" s="16">
        <f>IF('Data For Analysis'!AE23&gt;'Data For Analysis'!AE22,'Data For Analysis'!AE23-'Data For Analysis'!AE22,'Data For Analysis'!AE23-'Data For Analysis'!AE21)</f>
        <v>5.1170000000000044</v>
      </c>
      <c r="AF23" s="16">
        <f>IF('Data For Analysis'!AF23&gt;'Data For Analysis'!AF22,'Data For Analysis'!AF23-'Data For Analysis'!AF22,'Data For Analysis'!AF23-'Data For Analysis'!AF21)</f>
        <v>3.1839999999999975</v>
      </c>
      <c r="AG23" s="16">
        <f>IF('Data For Analysis'!AG23&gt;'Data For Analysis'!AG22,'Data For Analysis'!AG23-'Data For Analysis'!AG22,'Data For Analysis'!AG23-'Data For Analysis'!AG21)</f>
        <v>1.2330000000000041</v>
      </c>
      <c r="AH23" s="16">
        <f>IF('Data For Analysis'!AH23&gt;'Data For Analysis'!AH22,'Data For Analysis'!AH23-'Data For Analysis'!AH22,'Data For Analysis'!AH23-'Data For Analysis'!AH21)</f>
        <v>2.0000000000000036</v>
      </c>
      <c r="AI23" s="16">
        <f>IF('Data For Analysis'!AI23&gt;'Data For Analysis'!AI22,'Data For Analysis'!AI23-'Data For Analysis'!AI22,'Data For Analysis'!AI23-'Data For Analysis'!AI21)</f>
        <v>0.91669999999999874</v>
      </c>
      <c r="AJ23" s="16">
        <f>IF('Data For Analysis'!AJ23&gt;'Data For Analysis'!AJ22,'Data For Analysis'!AJ23-'Data For Analysis'!AJ22,'Data For Analysis'!AJ23-'Data For Analysis'!AJ21)</f>
        <v>1.2160000000000011</v>
      </c>
      <c r="AK23" s="16">
        <f>IF('Data For Analysis'!AK23&gt;'Data For Analysis'!AK22,'Data For Analysis'!AK23-'Data For Analysis'!AK22,'Data For Analysis'!AK23-'Data For Analysis'!AK21)</f>
        <v>1.6169999999999973</v>
      </c>
      <c r="AL23" s="16">
        <f>IF('Data For Analysis'!AL23&gt;'Data For Analysis'!AL22,'Data For Analysis'!AL23-'Data For Analysis'!AL22,'Data For Analysis'!AL23-'Data For Analysis'!AL21)</f>
        <v>3.3339999999999961</v>
      </c>
      <c r="AM23" s="16">
        <f>IF('Data For Analysis'!AM23&gt;'Data For Analysis'!AM22,'Data For Analysis'!AM23-'Data For Analysis'!AM22,'Data For Analysis'!AM23-'Data For Analysis'!AM21)</f>
        <v>2.1500000000000057</v>
      </c>
      <c r="AN23" s="16">
        <f>IF('Data For Analysis'!AN23&gt;'Data For Analysis'!AN22,'Data For Analysis'!AN23-'Data For Analysis'!AN22,'Data For Analysis'!AN23-'Data For Analysis'!AN21)</f>
        <v>2.1999999999999957</v>
      </c>
      <c r="AO23" s="16">
        <f>IF('Data For Analysis'!AO23&gt;'Data For Analysis'!AO22,'Data For Analysis'!AO23-'Data For Analysis'!AO22,'Data For Analysis'!AO23-'Data For Analysis'!AO21)</f>
        <v>0.91599999999999682</v>
      </c>
      <c r="AP23" s="16">
        <f>IF('Data For Analysis'!AP23&gt;'Data For Analysis'!AP22,'Data For Analysis'!AP23-'Data For Analysis'!AP22,'Data For Analysis'!AP23-'Data For Analysis'!AP21)</f>
        <v>2.2999999999999972</v>
      </c>
      <c r="AQ23" s="16">
        <f>IF('Data For Analysis'!AQ23&gt;'Data For Analysis'!AQ22,'Data For Analysis'!AQ23-'Data For Analysis'!AQ22,'Data For Analysis'!AQ23-'Data For Analysis'!AQ21)</f>
        <v>2.2496999999999971</v>
      </c>
      <c r="AR23" s="16">
        <f>IF('Data For Analysis'!AR23&gt;'Data For Analysis'!AR22,'Data For Analysis'!AR23-'Data For Analysis'!AR22,'Data For Analysis'!AR23-'Data For Analysis'!AR21)</f>
        <v>0.86700000000000443</v>
      </c>
      <c r="AS23" s="16">
        <f>IF('Data For Analysis'!AS23&gt;'Data For Analysis'!AS22,'Data For Analysis'!AS23-'Data For Analysis'!AS22,'Data For Analysis'!AS23-'Data For Analysis'!AS21)</f>
        <v>0.36599999999999966</v>
      </c>
      <c r="AT23" s="16">
        <f>IF('Data For Analysis'!AT23&gt;'Data For Analysis'!AT22,'Data For Analysis'!AT23-'Data For Analysis'!AT22,'Data For Analysis'!AT23-'Data For Analysis'!AT21)</f>
        <v>7.9170000000000016</v>
      </c>
      <c r="AU23" s="16">
        <f>IF('Data For Analysis'!AU23&gt;'Data For Analysis'!AU22,'Data For Analysis'!AU23-'Data For Analysis'!AU22,'Data For Analysis'!AU23-'Data For Analysis'!AU21)</f>
        <v>0.70029999999999859</v>
      </c>
      <c r="AV23" s="16">
        <f>IF('Data For Analysis'!AV23&gt;'Data For Analysis'!AV22,'Data For Analysis'!AV23-'Data For Analysis'!AV22,'Data For Analysis'!AV23-'Data For Analysis'!AV21)</f>
        <v>2.0500000000000007</v>
      </c>
      <c r="AW23" s="16">
        <f>IF('Data For Analysis'!AW23&gt;'Data For Analysis'!AW22,'Data For Analysis'!AW23-'Data For Analysis'!AW22,'Data For Analysis'!AW23-'Data For Analysis'!AW21)</f>
        <v>0.75</v>
      </c>
      <c r="AX23" s="16">
        <f>IF('Data For Analysis'!AX23&gt;'Data For Analysis'!AX22,'Data For Analysis'!AX23-'Data For Analysis'!AX22,'Data For Analysis'!AX23-'Data For Analysis'!AX21)</f>
        <v>1.6670000000000016</v>
      </c>
      <c r="AY23" s="16">
        <f>IF('Data For Analysis'!AY23&gt;'Data For Analysis'!AY22,'Data For Analysis'!AY23-'Data For Analysis'!AY22,'Data For Analysis'!AY23-'Data For Analysis'!AY21)</f>
        <v>0.5</v>
      </c>
      <c r="AZ23" s="16">
        <f>IF('Data For Analysis'!AZ23&gt;'Data For Analysis'!AZ22,'Data For Analysis'!AZ23-'Data For Analysis'!AZ22,'Data For Analysis'!AZ23-'Data For Analysis'!AZ21)</f>
        <v>1.0330000000000013</v>
      </c>
      <c r="BA23" s="16">
        <f>IF('Data For Analysis'!BA23&gt;'Data For Analysis'!BA22,'Data For Analysis'!BA23-'Data For Analysis'!BA22,'Data For Analysis'!BA23-'Data For Analysis'!BA21)</f>
        <v>2.25</v>
      </c>
      <c r="BB23" s="16">
        <f>IF('Data For Analysis'!BB23&gt;'Data For Analysis'!BB22,'Data For Analysis'!BB23-'Data For Analysis'!BB22,'Data For Analysis'!BB23-'Data For Analysis'!BB21)</f>
        <v>1.5829999999999984</v>
      </c>
      <c r="BC23" s="16">
        <f>IF('Data For Analysis'!BC23&gt;'Data For Analysis'!BC22,'Data For Analysis'!BC23-'Data For Analysis'!BC22,'Data For Analysis'!BC23-'Data For Analysis'!BC21)</f>
        <v>2.2000000000000028</v>
      </c>
      <c r="BD23" s="16">
        <f>IF('Data For Analysis'!BD23&gt;'Data For Analysis'!BD22,'Data For Analysis'!BD23-'Data For Analysis'!BD22,'Data For Analysis'!BD23-'Data For Analysis'!BD21)</f>
        <v>2.0499999999999972</v>
      </c>
      <c r="BE23" s="16">
        <f>IF('Data For Analysis'!BE23&gt;'Data For Analysis'!BE22,'Data For Analysis'!BE23-'Data For Analysis'!BE22,'Data For Analysis'!BE23-'Data For Analysis'!BE21)</f>
        <v>1.8329999999999984</v>
      </c>
      <c r="BF23" s="16">
        <f>IF('Data For Analysis'!BF23&gt;'Data For Analysis'!BF22,'Data For Analysis'!BF23-'Data For Analysis'!BF22,'Data For Analysis'!BF23-'Data For Analysis'!BF21)</f>
        <v>1.1670000000000016</v>
      </c>
      <c r="BG23" s="16">
        <f>IF('Data For Analysis'!BG23&gt;'Data For Analysis'!BG22,'Data For Analysis'!BG23-'Data For Analysis'!BG22,'Data For Analysis'!BG23-'Data For Analysis'!BG21)</f>
        <v>2.3619999999999948</v>
      </c>
      <c r="BH23" s="16">
        <f>IF('Data For Analysis'!BH23&gt;'Data For Analysis'!BH22,'Data For Analysis'!BH23-'Data For Analysis'!BH22,'Data For Analysis'!BH23-'Data For Analysis'!BH21)</f>
        <v>0.71599999999999397</v>
      </c>
      <c r="BI23" s="16">
        <f>IF('Data For Analysis'!BI23&gt;'Data For Analysis'!BI22,'Data For Analysis'!BI23-'Data For Analysis'!BI22,'Data For Analysis'!BI23-'Data For Analysis'!BI21)</f>
        <v>1.1369999999999969</v>
      </c>
      <c r="BJ23" s="16">
        <f>IF('Data For Analysis'!BJ23&gt;'Data For Analysis'!BJ22,'Data For Analysis'!BJ23-'Data For Analysis'!BJ22,'Data For Analysis'!BJ23-'Data For Analysis'!BJ21)</f>
        <v>0.93400000000000105</v>
      </c>
      <c r="BK23" s="16">
        <f>IF('Data For Analysis'!BK23&gt;'Data For Analysis'!BK22,'Data For Analysis'!BK23-'Data For Analysis'!BK22,'Data For Analysis'!BK23-'Data For Analysis'!BK21)</f>
        <v>2.2170000000000005</v>
      </c>
      <c r="BL23" s="16">
        <f>IF('Data For Analysis'!BL23&gt;'Data For Analysis'!BL22,'Data For Analysis'!BL23-'Data For Analysis'!BL22,'Data For Analysis'!BL23-'Data For Analysis'!BL21)</f>
        <v>5.4420000000000002</v>
      </c>
      <c r="BM23" s="16">
        <f>IF('Data For Analysis'!BM23&gt;'Data For Analysis'!BM22,'Data For Analysis'!BM23-'Data For Analysis'!BM22,'Data For Analysis'!BM23-'Data For Analysis'!BM21)</f>
        <v>2.2829999999999977</v>
      </c>
      <c r="BN23" s="16">
        <f>IF('Data For Analysis'!BN23&gt;'Data For Analysis'!BN22,'Data For Analysis'!BN23-'Data For Analysis'!BN22,'Data For Analysis'!BN23-'Data For Analysis'!BN21)</f>
        <v>1.5002999999999993</v>
      </c>
      <c r="BO23" s="16">
        <f>IF('Data For Analysis'!BO23&gt;'Data For Analysis'!BO22,'Data For Analysis'!BO23-'Data For Analysis'!BO22,'Data For Analysis'!BO23-'Data For Analysis'!BO21)</f>
        <v>2.9830000000000005</v>
      </c>
      <c r="BP23" s="16">
        <f>IF('Data For Analysis'!BP23&gt;'Data For Analysis'!BP22,'Data For Analysis'!BP23-'Data For Analysis'!BP22,'Data For Analysis'!BP23-'Data For Analysis'!BP21)</f>
        <v>1.9339999999999975</v>
      </c>
      <c r="BQ23" s="16">
        <f>IF('Data For Analysis'!BQ23&gt;'Data For Analysis'!BQ22,'Data For Analysis'!BQ23-'Data For Analysis'!BQ22,'Data For Analysis'!BQ23-'Data For Analysis'!BQ21)</f>
        <v>0.73400000000000176</v>
      </c>
      <c r="BR23" s="16">
        <f>IF('Data For Analysis'!BR23&gt;'Data For Analysis'!BR22,'Data For Analysis'!BR23-'Data For Analysis'!BR22,'Data For Analysis'!BR23-'Data For Analysis'!BR21)</f>
        <v>1.1170000000000044</v>
      </c>
      <c r="BS23" s="16">
        <f>IF('Data For Analysis'!BS23&gt;'Data For Analysis'!BS22,'Data For Analysis'!BS23-'Data For Analysis'!BS22,'Data For Analysis'!BS23-'Data For Analysis'!BS21)</f>
        <v>2.6999999999999957</v>
      </c>
      <c r="BT23" s="16">
        <f>IF('Data For Analysis'!BT23&gt;'Data For Analysis'!BT22,'Data For Analysis'!BT23-'Data For Analysis'!BT22,'Data For Analysis'!BT23-'Data For Analysis'!BT21)</f>
        <v>1.5499999999999972</v>
      </c>
      <c r="BU23" s="16">
        <f>IF('Data For Analysis'!BU23&gt;'Data For Analysis'!BU22,'Data For Analysis'!BU23-'Data For Analysis'!BU22,'Data For Analysis'!BU23-'Data For Analysis'!BU21)</f>
        <v>5.0500000000000114</v>
      </c>
      <c r="BV23" s="16">
        <f>IF('Data For Analysis'!BV23&gt;'Data For Analysis'!BV22,'Data For Analysis'!BV23-'Data For Analysis'!BV22,'Data For Analysis'!BV23-'Data For Analysis'!BV21)</f>
        <v>12.317</v>
      </c>
      <c r="BW23" s="16">
        <f>IF('Data For Analysis'!BW23&gt;'Data For Analysis'!BW22,'Data For Analysis'!BW23-'Data For Analysis'!BW22,'Data For Analysis'!BW23-'Data For Analysis'!BW21)</f>
        <v>3.982999999999997</v>
      </c>
      <c r="BX23" s="16">
        <f>IF('Data For Analysis'!BX23&gt;'Data For Analysis'!BX22,'Data For Analysis'!BX23-'Data For Analysis'!BX22,'Data For Analysis'!BX23-'Data For Analysis'!BX21)</f>
        <v>2.3500000000000014</v>
      </c>
      <c r="BY23" s="16">
        <f>IF('Data For Analysis'!BY23&gt;'Data For Analysis'!BY22,'Data For Analysis'!BY23-'Data For Analysis'!BY22,'Data For Analysis'!BY23-'Data For Analysis'!BY21)</f>
        <v>1.0340000000000007</v>
      </c>
      <c r="BZ23" s="16">
        <f>IF('Data For Analysis'!BZ23&gt;'Data For Analysis'!BZ22,'Data For Analysis'!BZ23-'Data For Analysis'!BZ22,'Data For Analysis'!BZ23-'Data For Analysis'!BZ21)</f>
        <v>2.482999999999997</v>
      </c>
      <c r="CA23" s="16">
        <f>IF('Data For Analysis'!CA23&gt;'Data For Analysis'!CA22,'Data For Analysis'!CA23-'Data For Analysis'!CA22,'Data For Analysis'!CA23-'Data For Analysis'!CA21)</f>
        <v>0.34999999999999964</v>
      </c>
      <c r="CB23" s="16">
        <f>IF('Data For Analysis'!CB23&gt;'Data For Analysis'!CB22,'Data For Analysis'!CB23-'Data For Analysis'!CB22,'Data For Analysis'!CB23-'Data For Analysis'!CB21)</f>
        <v>1.482999999999997</v>
      </c>
      <c r="CC23" s="16">
        <f>IF('Data For Analysis'!CC23&gt;'Data For Analysis'!CC22,'Data For Analysis'!CC23-'Data For Analysis'!CC22,'Data For Analysis'!CC23-'Data For Analysis'!CC21)</f>
        <v>3.4670000000000059</v>
      </c>
      <c r="CD23" s="16">
        <f>IF('Data For Analysis'!CD23&gt;'Data For Analysis'!CD22,'Data For Analysis'!CD23-'Data For Analysis'!CD22,'Data For Analysis'!CD23-'Data For Analysis'!CD21)</f>
        <v>2.1670000000000016</v>
      </c>
      <c r="CE23" s="16">
        <f>IF('Data For Analysis'!CE23&gt;'Data For Analysis'!CE22,'Data For Analysis'!CE23-'Data For Analysis'!CE22,'Data For Analysis'!CE23-'Data For Analysis'!CE21)</f>
        <v>0.75</v>
      </c>
      <c r="CF23" s="16">
        <f>IF('Data For Analysis'!CF23&gt;'Data For Analysis'!CF22,'Data For Analysis'!CF23-'Data For Analysis'!CF22,'Data For Analysis'!CF23-'Data For Analysis'!CF21)</f>
        <v>1.5</v>
      </c>
      <c r="CG23" s="16">
        <f>IF('Data For Analysis'!CG23&gt;'Data For Analysis'!CG22,'Data For Analysis'!CG23-'Data For Analysis'!CG22,'Data For Analysis'!CG23-'Data For Analysis'!CG21)</f>
        <v>1.9002999999999943</v>
      </c>
      <c r="CH23" s="16">
        <f>IF('Data For Analysis'!CH23&gt;'Data For Analysis'!CH22,'Data For Analysis'!CH23-'Data For Analysis'!CH22,'Data For Analysis'!CH23-'Data For Analysis'!CH21)</f>
        <v>1.017000000000003</v>
      </c>
      <c r="CI23" s="16">
        <f>IF('Data For Analysis'!CI23&gt;'Data For Analysis'!CI22,'Data For Analysis'!CI23-'Data For Analysis'!CI22,'Data For Analysis'!CI23-'Data For Analysis'!CI21)</f>
        <v>5</v>
      </c>
      <c r="CJ23" s="16">
        <f>IF('Data For Analysis'!CJ23&gt;'Data For Analysis'!CJ22,'Data For Analysis'!CJ23-'Data For Analysis'!CJ22,'Data For Analysis'!CJ23-'Data For Analysis'!CJ21)</f>
        <v>4.0000000000000036</v>
      </c>
      <c r="CK23" s="16">
        <f>IF('Data For Analysis'!CK23&gt;'Data For Analysis'!CK22,'Data For Analysis'!CK23-'Data For Analysis'!CK22,'Data For Analysis'!CK23-'Data For Analysis'!CK21)</f>
        <v>1</v>
      </c>
      <c r="CL23" s="16">
        <f>IF('Data For Analysis'!CL23&gt;'Data For Analysis'!CL22,'Data For Analysis'!CL23-'Data For Analysis'!CL22,'Data For Analysis'!CL23-'Data For Analysis'!CL21)</f>
        <v>3.0499999999999972</v>
      </c>
      <c r="CM23" s="16">
        <f>IF('Data For Analysis'!CM23&gt;'Data For Analysis'!CM22,'Data For Analysis'!CM23-'Data For Analysis'!CM22,'Data For Analysis'!CM23-'Data For Analysis'!CM21)</f>
        <v>2.982999999999997</v>
      </c>
      <c r="CN23" s="16"/>
      <c r="CO23" s="16"/>
      <c r="CP23" s="16"/>
      <c r="CQ23" s="16"/>
      <c r="CR23" s="16"/>
      <c r="CS23" s="16"/>
      <c r="CT23" s="16"/>
    </row>
    <row r="24" spans="1:98" x14ac:dyDescent="0.25">
      <c r="B24" s="1" t="str">
        <f>'Data For Analysis'!B24</f>
        <v>4.b.</v>
      </c>
      <c r="C24" s="6" t="str">
        <f>'Data For Analysis'!C24</f>
        <v>Indirect</v>
      </c>
      <c r="D24" s="16">
        <f>'Data For Analysis'!D24</f>
        <v>1.8666666666666667</v>
      </c>
      <c r="E24" s="16">
        <f>'Data For Analysis'!E24</f>
        <v>1.05</v>
      </c>
      <c r="F24" s="16">
        <f>'Data For Analysis'!F24</f>
        <v>2</v>
      </c>
      <c r="G24" s="16">
        <f>'Data For Analysis'!G24</f>
        <v>0.5</v>
      </c>
      <c r="H24" s="16">
        <f>'Data For Analysis'!H24</f>
        <v>0.5</v>
      </c>
      <c r="I24" s="16">
        <f>'Data For Analysis'!I24</f>
        <v>2.0166666666666666</v>
      </c>
      <c r="J24" s="16">
        <f>'Data For Analysis'!J24</f>
        <v>1.7</v>
      </c>
      <c r="K24" s="16">
        <f>'Data For Analysis'!K24</f>
        <v>2.9</v>
      </c>
      <c r="L24" s="16">
        <f>'Data For Analysis'!L24</f>
        <v>1.0740000000000001</v>
      </c>
      <c r="M24" s="16">
        <f>'Data For Analysis'!M24</f>
        <v>2</v>
      </c>
      <c r="N24" s="16">
        <f>'Data For Analysis'!N24</f>
        <v>0.93300000000000005</v>
      </c>
      <c r="O24" s="16">
        <f>'Data For Analysis'!O24</f>
        <v>2.3330000000000002</v>
      </c>
      <c r="P24" s="16">
        <f>'Data For Analysis'!P24</f>
        <v>0.45</v>
      </c>
      <c r="Q24" s="16">
        <f>'Data For Analysis'!Q24</f>
        <v>1.617</v>
      </c>
      <c r="R24" s="16">
        <f>'Data For Analysis'!R24</f>
        <v>1.9</v>
      </c>
      <c r="S24" s="16">
        <f>'Data For Analysis'!S24</f>
        <v>0.76300000000000001</v>
      </c>
      <c r="T24" s="16">
        <f>'Data For Analysis'!T24</f>
        <v>0.58299999999999996</v>
      </c>
      <c r="U24" s="16">
        <f>'Data For Analysis'!U24</f>
        <v>1.3</v>
      </c>
      <c r="V24" s="16">
        <f>'Data For Analysis'!V24</f>
        <v>2.8</v>
      </c>
      <c r="W24" s="16">
        <f>'Data For Analysis'!W24</f>
        <v>1.367</v>
      </c>
      <c r="X24" s="16">
        <f>'Data For Analysis'!X24</f>
        <v>0.88300000000000001</v>
      </c>
      <c r="Y24" s="16">
        <f>'Data For Analysis'!Y24</f>
        <v>0.98299999999999998</v>
      </c>
      <c r="Z24" s="16">
        <f>'Data For Analysis'!Z24</f>
        <v>1.208</v>
      </c>
      <c r="AA24" s="16">
        <f>'Data For Analysis'!AA24</f>
        <v>3.9</v>
      </c>
      <c r="AB24" s="16">
        <f>'Data For Analysis'!AB24</f>
        <v>1.1830000000000001</v>
      </c>
      <c r="AC24" s="16">
        <f>'Data For Analysis'!AC24</f>
        <v>0.106</v>
      </c>
      <c r="AD24" s="16">
        <f>'Data For Analysis'!AD24</f>
        <v>0.316</v>
      </c>
      <c r="AE24" s="16">
        <f>'Data For Analysis'!AE24</f>
        <v>3.383</v>
      </c>
      <c r="AF24" s="16">
        <f>'Data For Analysis'!AF24</f>
        <v>1.7669999999999999</v>
      </c>
      <c r="AG24" s="16">
        <f>'Data For Analysis'!AG24</f>
        <v>0.25</v>
      </c>
      <c r="AH24" s="16">
        <f>'Data For Analysis'!AH24</f>
        <v>1.167</v>
      </c>
      <c r="AI24" s="16">
        <f>'Data For Analysis'!AI24</f>
        <v>4.25</v>
      </c>
      <c r="AJ24" s="16">
        <f>'Data For Analysis'!AJ24</f>
        <v>1.9830000000000001</v>
      </c>
      <c r="AK24" s="16">
        <f>'Data For Analysis'!AK24</f>
        <v>0.5</v>
      </c>
      <c r="AL24" s="16">
        <f>'Data For Analysis'!AL24</f>
        <v>2.4</v>
      </c>
      <c r="AM24" s="16">
        <f>'Data For Analysis'!AM24</f>
        <v>1.1000000000000001</v>
      </c>
      <c r="AN24" s="16">
        <f>'Data For Analysis'!AN24</f>
        <v>6.7</v>
      </c>
      <c r="AO24" s="16">
        <f>'Data For Analysis'!AO24</f>
        <v>2.6</v>
      </c>
      <c r="AP24" s="16">
        <f>'Data For Analysis'!AP24</f>
        <v>1.4</v>
      </c>
      <c r="AQ24" s="16">
        <f>'Data For Analysis'!AQ24</f>
        <v>1.167</v>
      </c>
      <c r="AR24" s="16">
        <f>'Data For Analysis'!AR24</f>
        <v>1.4330000000000001</v>
      </c>
      <c r="AS24" s="16">
        <f>'Data For Analysis'!AS24</f>
        <v>2.286</v>
      </c>
      <c r="AT24" s="16">
        <f>'Data For Analysis'!AT24</f>
        <v>0.93300000000000005</v>
      </c>
      <c r="AU24" s="16">
        <f>'Data For Analysis'!AU24</f>
        <v>1.117</v>
      </c>
      <c r="AV24" s="16">
        <f>'Data For Analysis'!AV24</f>
        <v>3.9969999999999999</v>
      </c>
      <c r="AW24" s="16">
        <f>'Data For Analysis'!AW24</f>
        <v>1.75</v>
      </c>
      <c r="AX24" s="16">
        <f>'Data For Analysis'!AX24</f>
        <v>1.5</v>
      </c>
      <c r="AY24" s="16">
        <f>'Data For Analysis'!AY24</f>
        <v>1</v>
      </c>
      <c r="AZ24" s="16">
        <f>'Data For Analysis'!AZ24</f>
        <v>1.583</v>
      </c>
      <c r="BA24" s="16">
        <f>'Data For Analysis'!BA24</f>
        <v>1.667</v>
      </c>
      <c r="BB24" s="16">
        <f>'Data For Analysis'!BB24</f>
        <v>2.75</v>
      </c>
      <c r="BC24" s="16">
        <f>'Data For Analysis'!BC24</f>
        <v>1.583</v>
      </c>
      <c r="BD24" s="16">
        <f>'Data For Analysis'!BD24</f>
        <v>1.4830000000000001</v>
      </c>
      <c r="BE24" s="16">
        <f>'Data For Analysis'!BE24</f>
        <v>1.3</v>
      </c>
      <c r="BF24" s="16">
        <f>'Data For Analysis'!BF24</f>
        <v>1.2170000000000001</v>
      </c>
      <c r="BG24" s="16">
        <f>'Data For Analysis'!BG24</f>
        <v>2.9340000000000002</v>
      </c>
      <c r="BH24" s="16">
        <f>'Data For Analysis'!BH24</f>
        <v>1.6</v>
      </c>
      <c r="BI24" s="16">
        <f>'Data For Analysis'!BI24</f>
        <v>0.59399999999999997</v>
      </c>
      <c r="BJ24" s="16">
        <f>'Data For Analysis'!BJ24</f>
        <v>1.367</v>
      </c>
      <c r="BK24" s="16">
        <f>'Data For Analysis'!BK24</f>
        <v>1.2829999999999999</v>
      </c>
      <c r="BL24" s="16">
        <f>'Data For Analysis'!BL24</f>
        <v>1.3</v>
      </c>
      <c r="BM24" s="16">
        <f>'Data For Analysis'!BM24</f>
        <v>0</v>
      </c>
      <c r="BN24" s="16">
        <f>'Data For Analysis'!BN24</f>
        <v>1.917</v>
      </c>
      <c r="BO24" s="16">
        <f>'Data For Analysis'!BO24</f>
        <v>1.867</v>
      </c>
      <c r="BP24" s="16">
        <f>'Data For Analysis'!BP24</f>
        <v>4.37</v>
      </c>
      <c r="BQ24" s="16">
        <f>'Data For Analysis'!BQ24</f>
        <v>1.167</v>
      </c>
      <c r="BR24" s="16">
        <f>'Data For Analysis'!BR24</f>
        <v>1.333</v>
      </c>
      <c r="BS24" s="16">
        <f>'Data For Analysis'!BS24</f>
        <v>1.698</v>
      </c>
      <c r="BT24" s="16">
        <f>'Data For Analysis'!BT24</f>
        <v>1.05</v>
      </c>
      <c r="BU24" s="16">
        <f>'Data For Analysis'!BU24</f>
        <v>0</v>
      </c>
      <c r="BV24" s="16">
        <f>'Data For Analysis'!BV24</f>
        <v>10.5</v>
      </c>
      <c r="BW24" s="16">
        <f>'Data For Analysis'!BW24</f>
        <v>0</v>
      </c>
      <c r="BX24" s="16">
        <f>'Data For Analysis'!BX24</f>
        <v>0.2</v>
      </c>
      <c r="BY24" s="16">
        <f>'Data For Analysis'!BY24</f>
        <v>0.05</v>
      </c>
      <c r="BZ24" s="16">
        <f>'Data For Analysis'!BZ24</f>
        <v>1.4</v>
      </c>
      <c r="CA24" s="16">
        <f>'Data For Analysis'!CA24</f>
        <v>0.45</v>
      </c>
      <c r="CB24" s="16">
        <f>'Data For Analysis'!CB24</f>
        <v>6.5830000000000002</v>
      </c>
      <c r="CC24" s="16">
        <f>'Data For Analysis'!CC24</f>
        <v>1.8</v>
      </c>
      <c r="CD24" s="16">
        <f>'Data For Analysis'!CD24</f>
        <v>1.1000000000000001</v>
      </c>
      <c r="CE24" s="16">
        <f>'Data For Analysis'!CE24</f>
        <v>0.33300000000000002</v>
      </c>
      <c r="CF24" s="16">
        <f>'Data For Analysis'!CF24</f>
        <v>1.4</v>
      </c>
      <c r="CG24" s="16">
        <f>'Data For Analysis'!CG24</f>
        <v>2.8330000000000002</v>
      </c>
      <c r="CH24" s="16">
        <f>'Data For Analysis'!CH24</f>
        <v>3</v>
      </c>
      <c r="CI24" s="16">
        <f>'Data For Analysis'!CI24</f>
        <v>1.7</v>
      </c>
      <c r="CJ24" s="16">
        <f>'Data For Analysis'!CJ24</f>
        <v>0.88300000000000001</v>
      </c>
      <c r="CK24" s="16">
        <f>'Data For Analysis'!CK24</f>
        <v>1.167</v>
      </c>
      <c r="CL24" s="16">
        <f>'Data For Analysis'!CL24</f>
        <v>1.1060000000000001</v>
      </c>
      <c r="CM24" s="16">
        <f>'Data For Analysis'!CM24</f>
        <v>2.3330000000000002</v>
      </c>
      <c r="CN24" s="16"/>
      <c r="CO24" s="16"/>
      <c r="CP24" s="16"/>
      <c r="CQ24" s="16"/>
      <c r="CR24" s="16"/>
      <c r="CS24" s="16"/>
      <c r="CT24" s="16"/>
    </row>
    <row r="25" spans="1:98" x14ac:dyDescent="0.25">
      <c r="B25" s="1" t="str">
        <f>'Data For Analysis'!B25</f>
        <v>4.c.</v>
      </c>
      <c r="C25" s="6" t="str">
        <f>'Data For Analysis'!C25</f>
        <v>Indirect</v>
      </c>
      <c r="D25" s="16">
        <f>'Data For Analysis'!D25-'Data For Analysis'!D24</f>
        <v>1.5499999999999998</v>
      </c>
      <c r="E25" s="16">
        <f>'Data For Analysis'!E25-'Data For Analysis'!E24</f>
        <v>0.78299999999999992</v>
      </c>
      <c r="F25" s="16">
        <f>'Data For Analysis'!F25-'Data For Analysis'!F24</f>
        <v>2.25</v>
      </c>
      <c r="G25" s="16">
        <f>'Data For Analysis'!G25-'Data For Analysis'!G24</f>
        <v>0.58299999999999996</v>
      </c>
      <c r="H25" s="16">
        <f>'Data For Analysis'!H25-'Data For Analysis'!H24</f>
        <v>1.417</v>
      </c>
      <c r="I25" s="16">
        <f>'Data For Analysis'!I25-'Data For Analysis'!I24</f>
        <v>0.53333333333333321</v>
      </c>
      <c r="J25" s="16">
        <f>'Data For Analysis'!J25-'Data For Analysis'!J24</f>
        <v>0</v>
      </c>
      <c r="K25" s="16">
        <f>'Data For Analysis'!K25-'Data For Analysis'!K24</f>
        <v>1.3329999999999997</v>
      </c>
      <c r="L25" s="16">
        <f>'Data For Analysis'!L25-'Data For Analysis'!L24</f>
        <v>0.45999999999999996</v>
      </c>
      <c r="M25" s="16">
        <f>'Data For Analysis'!M25-'Data For Analysis'!M24</f>
        <v>4</v>
      </c>
      <c r="N25" s="16">
        <f>'Data For Analysis'!N25-'Data For Analysis'!N24</f>
        <v>0</v>
      </c>
      <c r="O25" s="16">
        <f>'Data For Analysis'!O25-'Data For Analysis'!O24</f>
        <v>2.4169999999999998</v>
      </c>
      <c r="P25" s="16">
        <f>'Data For Analysis'!P25-'Data For Analysis'!P24</f>
        <v>1.1000000000000001</v>
      </c>
      <c r="Q25" s="16">
        <f>'Data For Analysis'!Q25-'Data For Analysis'!Q24</f>
        <v>1.9</v>
      </c>
      <c r="R25" s="16">
        <f>'Data For Analysis'!R25-'Data For Analysis'!R24</f>
        <v>1.1000000000000001</v>
      </c>
      <c r="S25" s="16">
        <f>'Data For Analysis'!S25-'Data For Analysis'!S24</f>
        <v>0.51999999999999991</v>
      </c>
      <c r="T25" s="16">
        <f>'Data For Analysis'!T25-'Data For Analysis'!T24</f>
        <v>0.51700000000000013</v>
      </c>
      <c r="U25" s="16">
        <f>'Data For Analysis'!U25-'Data For Analysis'!U24</f>
        <v>1.7169999999999999</v>
      </c>
      <c r="V25" s="16">
        <f>'Data For Analysis'!V25-'Data For Analysis'!V24</f>
        <v>0.91700000000000026</v>
      </c>
      <c r="W25" s="16">
        <f>'Data For Analysis'!W25-'Data For Analysis'!W24</f>
        <v>0.3660000000000001</v>
      </c>
      <c r="X25" s="16">
        <f>'Data For Analysis'!X25-'Data For Analysis'!X24</f>
        <v>1.9169999999999998</v>
      </c>
      <c r="Y25" s="16">
        <f>'Data For Analysis'!Y25-'Data For Analysis'!Y24</f>
        <v>0.58399999999999996</v>
      </c>
      <c r="Z25" s="16">
        <f>'Data For Analysis'!Z25-'Data For Analysis'!Z24</f>
        <v>0.60899999999999999</v>
      </c>
      <c r="AA25" s="16">
        <f>'Data For Analysis'!AA25-'Data For Analysis'!AA24</f>
        <v>0.2669999999999999</v>
      </c>
      <c r="AB25" s="16">
        <f>'Data For Analysis'!AB25-'Data For Analysis'!AB24</f>
        <v>0.81699999999999995</v>
      </c>
      <c r="AC25" s="16">
        <f>'Data For Analysis'!AC25-'Data For Analysis'!AC24</f>
        <v>0.72799999999999998</v>
      </c>
      <c r="AD25" s="16">
        <f>'Data For Analysis'!AD25-'Data For Analysis'!AD24</f>
        <v>1.5529999999999999</v>
      </c>
      <c r="AE25" s="16">
        <f>'Data For Analysis'!AE25-'Data For Analysis'!AE24</f>
        <v>1.2709999999999999</v>
      </c>
      <c r="AF25" s="16">
        <f>'Data For Analysis'!AF25-'Data For Analysis'!AF24</f>
        <v>0.88300000000000001</v>
      </c>
      <c r="AG25" s="16">
        <f>'Data For Analysis'!AG25-'Data For Analysis'!AG24</f>
        <v>0.38300000000000001</v>
      </c>
      <c r="AH25" s="16">
        <f>'Data For Analysis'!AH25-'Data For Analysis'!AH24</f>
        <v>2.5330000000000004</v>
      </c>
      <c r="AI25" s="16">
        <f>'Data For Analysis'!AI25-'Data For Analysis'!AI24</f>
        <v>2</v>
      </c>
      <c r="AJ25" s="16">
        <f>'Data For Analysis'!AJ25-'Data For Analysis'!AJ24</f>
        <v>1.5169999999999999</v>
      </c>
      <c r="AK25" s="16">
        <f>'Data For Analysis'!AK25-'Data For Analysis'!AK24</f>
        <v>2.3330000000000002</v>
      </c>
      <c r="AL25" s="16">
        <f>'Data For Analysis'!AL25-'Data For Analysis'!AL24</f>
        <v>1.5</v>
      </c>
      <c r="AM25" s="16">
        <f>'Data For Analysis'!AM25-'Data For Analysis'!AM24</f>
        <v>0.36699999999999999</v>
      </c>
      <c r="AN25" s="16">
        <f>'Data For Analysis'!AN25-'Data For Analysis'!AN24</f>
        <v>2.0330000000000004</v>
      </c>
      <c r="AO25" s="16">
        <f>'Data For Analysis'!AO25-'Data For Analysis'!AO24</f>
        <v>1.0329999999999999</v>
      </c>
      <c r="AP25" s="16">
        <f>'Data For Analysis'!AP25-'Data For Analysis'!AP24</f>
        <v>1</v>
      </c>
      <c r="AQ25" s="16">
        <f>'Data For Analysis'!AQ25-'Data For Analysis'!AQ24</f>
        <v>0.58299999999999996</v>
      </c>
      <c r="AR25" s="16">
        <f>'Data For Analysis'!AR25-'Data For Analysis'!AR24</f>
        <v>0.48399999999999999</v>
      </c>
      <c r="AS25" s="16">
        <f>'Data For Analysis'!AS25-'Data For Analysis'!AS24</f>
        <v>1.0169999999999999</v>
      </c>
      <c r="AT25" s="16">
        <f>'Data For Analysis'!AT25-'Data For Analysis'!AT24</f>
        <v>0.33399999999999985</v>
      </c>
      <c r="AU25" s="16">
        <f>'Data For Analysis'!AU25-'Data For Analysis'!AU24</f>
        <v>1.1659999999999999</v>
      </c>
      <c r="AV25" s="16">
        <f>'Data For Analysis'!AV25-'Data For Analysis'!AV24</f>
        <v>4.9510000000000005</v>
      </c>
      <c r="AW25" s="16">
        <f>'Data For Analysis'!AW25-'Data For Analysis'!AW24</f>
        <v>0.60000000000000009</v>
      </c>
      <c r="AX25" s="16">
        <f>'Data For Analysis'!AX25-'Data For Analysis'!AX24</f>
        <v>0.5</v>
      </c>
      <c r="AY25" s="16">
        <f>'Data For Analysis'!AY25-'Data For Analysis'!AY24</f>
        <v>1</v>
      </c>
      <c r="AZ25" s="16">
        <f>'Data For Analysis'!AZ25-'Data For Analysis'!AZ24</f>
        <v>1.5003</v>
      </c>
      <c r="BA25" s="16">
        <f>'Data For Analysis'!BA25-'Data For Analysis'!BA24</f>
        <v>0.41629999999999989</v>
      </c>
      <c r="BB25" s="16">
        <f>'Data For Analysis'!BB25-'Data For Analysis'!BB24</f>
        <v>2.25</v>
      </c>
      <c r="BC25" s="16">
        <f>'Data For Analysis'!BC25-'Data For Analysis'!BC24</f>
        <v>0.66700000000000004</v>
      </c>
      <c r="BD25" s="16">
        <f>'Data For Analysis'!BD25-'Data For Analysis'!BD24</f>
        <v>1</v>
      </c>
      <c r="BE25" s="16">
        <f>'Data For Analysis'!BE25-'Data For Analysis'!BE24</f>
        <v>0.25</v>
      </c>
      <c r="BF25" s="16">
        <f>'Data For Analysis'!BF25-'Data For Analysis'!BF24</f>
        <v>1.6659999999999999</v>
      </c>
      <c r="BG25" s="16">
        <f>'Data For Analysis'!BG25-'Data For Analysis'!BG24</f>
        <v>0.42099999999999982</v>
      </c>
      <c r="BH25" s="16">
        <f>'Data For Analysis'!BH25-'Data For Analysis'!BH24</f>
        <v>0.63300000000000001</v>
      </c>
      <c r="BI25" s="16">
        <f>'Data For Analysis'!BI25-'Data For Analysis'!BI24</f>
        <v>1.2879999999999998</v>
      </c>
      <c r="BJ25" s="16">
        <f>'Data For Analysis'!BJ25-'Data For Analysis'!BJ24</f>
        <v>1.2330000000000001</v>
      </c>
      <c r="BK25" s="16">
        <f>'Data For Analysis'!BK25-'Data For Analysis'!BK24</f>
        <v>0.18400000000000016</v>
      </c>
      <c r="BL25" s="16">
        <f>'Data For Analysis'!BL25-'Data For Analysis'!BL24</f>
        <v>0.57299999999999995</v>
      </c>
      <c r="BM25" s="16">
        <f>'Data For Analysis'!BM25-'Data For Analysis'!BM24</f>
        <v>0</v>
      </c>
      <c r="BN25" s="16">
        <f>'Data For Analysis'!BN25-'Data For Analysis'!BN24</f>
        <v>1.4999999999999998</v>
      </c>
      <c r="BO25" s="16">
        <f>'Data For Analysis'!BO25-'Data For Analysis'!BO24</f>
        <v>0.13300000000000001</v>
      </c>
      <c r="BP25" s="16">
        <f>'Data For Analysis'!BP25-'Data For Analysis'!BP24</f>
        <v>3.9449999999999994</v>
      </c>
      <c r="BQ25" s="16">
        <f>'Data For Analysis'!BQ25-'Data For Analysis'!BQ24</f>
        <v>0.83299999999999996</v>
      </c>
      <c r="BR25" s="16">
        <f>'Data For Analysis'!BR25-'Data For Analysis'!BR24</f>
        <v>0.46700000000000008</v>
      </c>
      <c r="BS25" s="16">
        <f>'Data For Analysis'!BS25-'Data For Analysis'!BS24</f>
        <v>0.18300000000000005</v>
      </c>
      <c r="BT25" s="16">
        <f>'Data For Analysis'!BT25-'Data For Analysis'!BT24</f>
        <v>0.59999999999999987</v>
      </c>
      <c r="BU25" s="16">
        <f>'Data For Analysis'!BU25-'Data For Analysis'!BU24</f>
        <v>0.66700000000000004</v>
      </c>
      <c r="BV25" s="16">
        <f>'Data For Analysis'!BV25-'Data For Analysis'!BV24</f>
        <v>0.59999999999999964</v>
      </c>
      <c r="BW25" s="16">
        <f>'Data For Analysis'!BW25-'Data For Analysis'!BW24</f>
        <v>0</v>
      </c>
      <c r="BX25" s="16">
        <f>'Data For Analysis'!BX25-'Data For Analysis'!BX24</f>
        <v>0.49999999999999994</v>
      </c>
      <c r="BY25" s="16">
        <f>'Data For Analysis'!BY25-'Data For Analysis'!BY24</f>
        <v>0.45</v>
      </c>
      <c r="BZ25" s="16">
        <f>'Data For Analysis'!BZ25-'Data For Analysis'!BZ24</f>
        <v>0.5</v>
      </c>
      <c r="CA25" s="16">
        <f>'Data For Analysis'!CA25-'Data For Analysis'!CA24</f>
        <v>0.10000000000000003</v>
      </c>
      <c r="CB25" s="16">
        <f>'Data For Analysis'!CB25-'Data For Analysis'!CB24</f>
        <v>1.0339999999999998</v>
      </c>
      <c r="CC25" s="16">
        <f>'Data For Analysis'!CC25-'Data For Analysis'!CC24</f>
        <v>0.73299999999999987</v>
      </c>
      <c r="CD25" s="16">
        <f>'Data For Analysis'!CD25-'Data For Analysis'!CD24</f>
        <v>0.41699999999999982</v>
      </c>
      <c r="CE25" s="16">
        <f>'Data For Analysis'!CE25-'Data For Analysis'!CE24</f>
        <v>0.24999999999999994</v>
      </c>
      <c r="CF25" s="16">
        <f>'Data For Analysis'!CF25-'Data For Analysis'!CF24</f>
        <v>0.7669999999999999</v>
      </c>
      <c r="CG25" s="16">
        <f>'Data For Analysis'!CG25-'Data For Analysis'!CG24</f>
        <v>0.89999999999999991</v>
      </c>
      <c r="CH25" s="16">
        <f>'Data For Analysis'!CH25-'Data For Analysis'!CH24</f>
        <v>1.0499999999999998</v>
      </c>
      <c r="CI25" s="16">
        <f>'Data For Analysis'!CI25-'Data For Analysis'!CI24</f>
        <v>0.50000000000000022</v>
      </c>
      <c r="CJ25" s="16">
        <f>'Data For Analysis'!CJ25-'Data For Analysis'!CJ24</f>
        <v>8.3999999999999964E-2</v>
      </c>
      <c r="CK25" s="16">
        <f>'Data For Analysis'!CK25-'Data For Analysis'!CK24</f>
        <v>0.99999999999999978</v>
      </c>
      <c r="CL25" s="16">
        <f>'Data For Analysis'!CL25-'Data For Analysis'!CL24</f>
        <v>0.56499999999999995</v>
      </c>
      <c r="CM25" s="16">
        <f>'Data For Analysis'!CM25-'Data For Analysis'!CM24</f>
        <v>1.8170000000000002</v>
      </c>
      <c r="CN25" s="16"/>
      <c r="CO25" s="16"/>
      <c r="CP25" s="16"/>
      <c r="CQ25" s="16"/>
      <c r="CR25" s="16"/>
      <c r="CS25" s="16"/>
      <c r="CT25" s="16"/>
    </row>
    <row r="26" spans="1:98" x14ac:dyDescent="0.25">
      <c r="B26" s="1" t="str">
        <f>'Data For Analysis'!B26</f>
        <v>4.d.</v>
      </c>
      <c r="C26" s="6" t="str">
        <f>'Data For Analysis'!C26</f>
        <v>Indirect</v>
      </c>
      <c r="D26" s="16">
        <f>'Data For Analysis'!D26-'Data For Analysis'!D25</f>
        <v>0.60000000000000009</v>
      </c>
      <c r="E26" s="16">
        <f>'Data For Analysis'!E26-'Data For Analysis'!E25</f>
        <v>0.40000000000000013</v>
      </c>
      <c r="F26" s="16">
        <f>'Data For Analysis'!F26-'Data For Analysis'!F25</f>
        <v>2.166666666666667</v>
      </c>
      <c r="G26" s="16">
        <f>'Data For Analysis'!G26-'Data For Analysis'!G25</f>
        <v>0.21700000000000008</v>
      </c>
      <c r="H26" s="16">
        <f>'Data For Analysis'!H26-'Data For Analysis'!H25</f>
        <v>0.63299999999999979</v>
      </c>
      <c r="I26" s="16">
        <f>'Data For Analysis'!I26-'Data For Analysis'!I25</f>
        <v>0.41666666666666696</v>
      </c>
      <c r="J26" s="16">
        <f>'Data For Analysis'!J26-'Data For Analysis'!J25</f>
        <v>0</v>
      </c>
      <c r="K26" s="16">
        <f>'Data For Analysis'!K26-'Data For Analysis'!K25</f>
        <v>0.63400000000000034</v>
      </c>
      <c r="L26" s="16">
        <f>'Data For Analysis'!L26-'Data For Analysis'!L25</f>
        <v>0.21999999999999997</v>
      </c>
      <c r="M26" s="16">
        <f>'Data For Analysis'!M26-'Data For Analysis'!M25</f>
        <v>1</v>
      </c>
      <c r="N26" s="16">
        <f>'Data For Analysis'!N26-'Data For Analysis'!N25</f>
        <v>0</v>
      </c>
      <c r="O26" s="16">
        <f>'Data For Analysis'!O26-'Data For Analysis'!O25</f>
        <v>1.1669999999999998</v>
      </c>
      <c r="P26" s="16">
        <f>'Data For Analysis'!P26-'Data For Analysis'!P25</f>
        <v>0.23299999999999987</v>
      </c>
      <c r="Q26" s="16">
        <f>'Data For Analysis'!Q26-'Data For Analysis'!Q25</f>
        <v>0.56630000000000047</v>
      </c>
      <c r="R26" s="16">
        <f>'Data For Analysis'!R26-'Data For Analysis'!R25</f>
        <v>0.83300000000000018</v>
      </c>
      <c r="S26" s="16">
        <f>'Data For Analysis'!S26-'Data For Analysis'!S25</f>
        <v>0.26700000000000013</v>
      </c>
      <c r="T26" s="16">
        <f>'Data For Analysis'!T26-'Data For Analysis'!T25</f>
        <v>0.81699999999999995</v>
      </c>
      <c r="U26" s="16">
        <f>'Data For Analysis'!U26-'Data For Analysis'!U25</f>
        <v>0.78299999999999992</v>
      </c>
      <c r="V26" s="16">
        <f>'Data For Analysis'!V26-'Data For Analysis'!V25</f>
        <v>0.58299999999999974</v>
      </c>
      <c r="W26" s="16">
        <f>'Data For Analysis'!W26-'Data For Analysis'!W25</f>
        <v>0.25</v>
      </c>
      <c r="X26" s="16">
        <f>'Data For Analysis'!X26-'Data For Analysis'!X25</f>
        <v>1.9670000000000005</v>
      </c>
      <c r="Y26" s="16">
        <f>'Data For Analysis'!Y26-'Data For Analysis'!Y25</f>
        <v>0.43300000000000005</v>
      </c>
      <c r="Z26" s="16">
        <f>'Data For Analysis'!Z26-'Data For Analysis'!Z25</f>
        <v>0.31600000000000006</v>
      </c>
      <c r="AA26" s="16">
        <f>'Data For Analysis'!AA26-'Data For Analysis'!AA25</f>
        <v>1.2830000000000004</v>
      </c>
      <c r="AB26" s="16">
        <f>'Data For Analysis'!AB26-'Data For Analysis'!AB25</f>
        <v>0.79999999999999982</v>
      </c>
      <c r="AC26" s="16">
        <f>'Data For Analysis'!AC26-'Data For Analysis'!AC25</f>
        <v>0.4</v>
      </c>
      <c r="AD26" s="16">
        <f>'Data For Analysis'!AD26-'Data For Analysis'!AD25</f>
        <v>0.30300000000000016</v>
      </c>
      <c r="AE26" s="16">
        <f>'Data For Analysis'!AE26-'Data For Analysis'!AE25</f>
        <v>0.51900000000000013</v>
      </c>
      <c r="AF26" s="16">
        <f>'Data For Analysis'!AF26-'Data For Analysis'!AF25</f>
        <v>0.39999999999999991</v>
      </c>
      <c r="AG26" s="16">
        <f>'Data For Analysis'!AG26-'Data For Analysis'!AG25</f>
        <v>0.19999999999999996</v>
      </c>
      <c r="AH26" s="16">
        <f>'Data For Analysis'!AH26-'Data For Analysis'!AH25</f>
        <v>1.0830000000000002</v>
      </c>
      <c r="AI26" s="16">
        <f>'Data For Analysis'!AI26-'Data For Analysis'!AI25</f>
        <v>4.9999999999999822E-2</v>
      </c>
      <c r="AJ26" s="16">
        <f>'Data For Analysis'!AJ26-'Data For Analysis'!AJ25</f>
        <v>0.46700000000000008</v>
      </c>
      <c r="AK26" s="16">
        <f>'Data For Analysis'!AK26-'Data For Analysis'!AK25</f>
        <v>1</v>
      </c>
      <c r="AL26" s="16">
        <f>'Data For Analysis'!AL26-'Data For Analysis'!AL25</f>
        <v>1.0500000000000003</v>
      </c>
      <c r="AM26" s="16">
        <f>'Data For Analysis'!AM26-'Data For Analysis'!AM25</f>
        <v>0.54970000000000008</v>
      </c>
      <c r="AN26" s="16">
        <f>'Data For Analysis'!AN26-'Data For Analysis'!AN25</f>
        <v>0.64999999999999858</v>
      </c>
      <c r="AO26" s="16">
        <f>'Data For Analysis'!AO26-'Data For Analysis'!AO25</f>
        <v>1.7000000000000002</v>
      </c>
      <c r="AP26" s="16">
        <f>'Data For Analysis'!AP26-'Data For Analysis'!AP25</f>
        <v>0.58300000000000018</v>
      </c>
      <c r="AQ26" s="16">
        <f>'Data For Analysis'!AQ26-'Data For Analysis'!AQ25</f>
        <v>0.26670000000000016</v>
      </c>
      <c r="AR26" s="16">
        <f>'Data For Analysis'!AR26-'Data For Analysis'!AR25</f>
        <v>0.68300000000000005</v>
      </c>
      <c r="AS26" s="16">
        <f>'Data For Analysis'!AS26-'Data For Analysis'!AS25</f>
        <v>0.40200000000000014</v>
      </c>
      <c r="AT26" s="16">
        <f>'Data For Analysis'!AT26-'Data For Analysis'!AT25</f>
        <v>0.30000000000000004</v>
      </c>
      <c r="AU26" s="16">
        <f>'Data For Analysis'!AU26-'Data For Analysis'!AU25</f>
        <v>1.1840000000000002</v>
      </c>
      <c r="AV26" s="16">
        <f>'Data For Analysis'!AV26-'Data For Analysis'!AV25</f>
        <v>0.26499999999999879</v>
      </c>
      <c r="AW26" s="16">
        <f>'Data For Analysis'!AW26-'Data For Analysis'!AW25</f>
        <v>0.63300000000000001</v>
      </c>
      <c r="AX26" s="16">
        <f>'Data For Analysis'!AX26-'Data For Analysis'!AX25</f>
        <v>0.25</v>
      </c>
      <c r="AY26" s="16">
        <f>'Data For Analysis'!AY26-'Data For Analysis'!AY25</f>
        <v>0.5</v>
      </c>
      <c r="AZ26" s="16">
        <f>'Data For Analysis'!AZ26-'Data For Analysis'!AZ25</f>
        <v>0.14970000000000017</v>
      </c>
      <c r="BA26" s="16">
        <f>'Data For Analysis'!BA26-'Data For Analysis'!BA25</f>
        <v>1.1997</v>
      </c>
      <c r="BB26" s="16">
        <f>'Data For Analysis'!BB26-'Data For Analysis'!BB25</f>
        <v>0.58300000000000018</v>
      </c>
      <c r="BC26" s="16">
        <f>'Data For Analysis'!BC26-'Data For Analysis'!BC25</f>
        <v>1.117</v>
      </c>
      <c r="BD26" s="16">
        <f>'Data For Analysis'!BD26-'Data For Analysis'!BD25</f>
        <v>1.0669999999999997</v>
      </c>
      <c r="BE26" s="16">
        <f>'Data For Analysis'!BE26-'Data For Analysis'!BE25</f>
        <v>2.367</v>
      </c>
      <c r="BF26" s="16">
        <f>'Data For Analysis'!BF26-'Data For Analysis'!BF25</f>
        <v>0.83400000000000007</v>
      </c>
      <c r="BG26" s="16">
        <f>'Data For Analysis'!BG26-'Data For Analysis'!BG25</f>
        <v>1.1300000000000003</v>
      </c>
      <c r="BH26" s="16">
        <f>'Data For Analysis'!BH26-'Data For Analysis'!BH25</f>
        <v>0.43399999999999972</v>
      </c>
      <c r="BI26" s="16">
        <f>'Data For Analysis'!BI26-'Data For Analysis'!BI25</f>
        <v>0.92400000000000015</v>
      </c>
      <c r="BJ26" s="16">
        <f>'Data For Analysis'!BJ26-'Data For Analysis'!BJ25</f>
        <v>1.0169999999999999</v>
      </c>
      <c r="BK26" s="16">
        <f>'Data For Analysis'!BK26-'Data For Analysis'!BK25</f>
        <v>0.14999999999999991</v>
      </c>
      <c r="BL26" s="16">
        <f>'Data For Analysis'!BL26-'Data For Analysis'!BL25</f>
        <v>0.18220000000000014</v>
      </c>
      <c r="BM26" s="16">
        <f>'Data For Analysis'!BM26-'Data For Analysis'!BM25</f>
        <v>0</v>
      </c>
      <c r="BN26" s="16">
        <f>'Data For Analysis'!BN26-'Data For Analysis'!BN25</f>
        <v>1.4500000000000002</v>
      </c>
      <c r="BO26" s="16">
        <f>'Data For Analysis'!BO26-'Data For Analysis'!BO25</f>
        <v>0.31700000000000017</v>
      </c>
      <c r="BP26" s="16">
        <f>'Data For Analysis'!BP26-'Data For Analysis'!BP25</f>
        <v>0.30499999999999972</v>
      </c>
      <c r="BQ26" s="16">
        <f>'Data For Analysis'!BQ26-'Data For Analysis'!BQ25</f>
        <v>0.5169999999999999</v>
      </c>
      <c r="BR26" s="16">
        <f>'Data For Analysis'!BR26-'Data For Analysis'!BR25</f>
        <v>0.23330000000000006</v>
      </c>
      <c r="BS26" s="16">
        <f>'Data For Analysis'!BS26-'Data For Analysis'!BS25</f>
        <v>0.12249999999999983</v>
      </c>
      <c r="BT26" s="16">
        <f>'Data For Analysis'!BT26-'Data For Analysis'!BT25</f>
        <v>0.18300000000000005</v>
      </c>
      <c r="BU26" s="16">
        <f>'Data For Analysis'!BU26-'Data For Analysis'!BU25</f>
        <v>0.43300000000000005</v>
      </c>
      <c r="BV26" s="16">
        <f>'Data For Analysis'!BV26-'Data For Analysis'!BV25</f>
        <v>0.26700000000000124</v>
      </c>
      <c r="BW26" s="16">
        <f>'Data For Analysis'!BW26-'Data For Analysis'!BW25</f>
        <v>0</v>
      </c>
      <c r="BX26" s="16">
        <f>'Data For Analysis'!BX26-'Data For Analysis'!BX25</f>
        <v>0.8</v>
      </c>
      <c r="BY26" s="16">
        <f>'Data For Analysis'!BY26-'Data For Analysis'!BY25</f>
        <v>0.16700000000000004</v>
      </c>
      <c r="BZ26" s="16">
        <f>'Data For Analysis'!BZ26-'Data For Analysis'!BZ25</f>
        <v>0.45000000000000018</v>
      </c>
      <c r="CA26" s="16">
        <f>'Data For Analysis'!CA26-'Data For Analysis'!CA25</f>
        <v>0.13300000000000001</v>
      </c>
      <c r="CB26" s="16">
        <f>'Data For Analysis'!CB26-'Data For Analysis'!CB25</f>
        <v>1.1000000000000005</v>
      </c>
      <c r="CC26" s="16">
        <f>'Data For Analysis'!CC26-'Data For Analysis'!CC25</f>
        <v>0.31700000000000017</v>
      </c>
      <c r="CD26" s="16">
        <f>'Data For Analysis'!CD26-'Data For Analysis'!CD25</f>
        <v>0.28300000000000014</v>
      </c>
      <c r="CE26" s="16">
        <f>'Data For Analysis'!CE26-'Data For Analysis'!CE25</f>
        <v>0.10000000000000009</v>
      </c>
      <c r="CF26" s="16">
        <f>'Data For Analysis'!CF26-'Data For Analysis'!CF25</f>
        <v>1.5</v>
      </c>
      <c r="CG26" s="16">
        <f>'Data For Analysis'!CG26-'Data For Analysis'!CG25</f>
        <v>0.69999999999999973</v>
      </c>
      <c r="CH26" s="16">
        <f>'Data For Analysis'!CH26-'Data For Analysis'!CH25</f>
        <v>0.68299999999999983</v>
      </c>
      <c r="CI26" s="16">
        <f>'Data For Analysis'!CI26-'Data For Analysis'!CI25</f>
        <v>0.5</v>
      </c>
      <c r="CJ26" s="16">
        <f>'Data For Analysis'!CJ26-'Data For Analysis'!CJ25</f>
        <v>0.23299999999999998</v>
      </c>
      <c r="CK26" s="16">
        <f>'Data For Analysis'!CK26-'Data For Analysis'!CK25</f>
        <v>1</v>
      </c>
      <c r="CL26" s="16">
        <f>'Data For Analysis'!CL26-'Data For Analysis'!CL25</f>
        <v>0.72</v>
      </c>
      <c r="CM26" s="16">
        <f>'Data For Analysis'!CM26-'Data For Analysis'!CM25</f>
        <v>2.6669999999999998</v>
      </c>
      <c r="CN26" s="16"/>
      <c r="CO26" s="16"/>
      <c r="CP26" s="16"/>
      <c r="CQ26" s="16"/>
      <c r="CR26" s="16"/>
      <c r="CS26" s="16"/>
      <c r="CT26" s="16"/>
    </row>
    <row r="27" spans="1:98" x14ac:dyDescent="0.25">
      <c r="B27" s="1" t="str">
        <f>'Data For Analysis'!B27</f>
        <v>4.e.</v>
      </c>
      <c r="C27" s="6" t="str">
        <f>'Data For Analysis'!C27</f>
        <v>Indirect</v>
      </c>
      <c r="D27" s="16">
        <f>'Data For Analysis'!D27-'Data For Analysis'!D26</f>
        <v>0.5</v>
      </c>
      <c r="E27" s="16">
        <f>'Data For Analysis'!E27-'Data For Analysis'!E26</f>
        <v>0.68399999999999972</v>
      </c>
      <c r="F27" s="16">
        <f>'Data For Analysis'!F27-'Data For Analysis'!F26</f>
        <v>2.0500000000000016</v>
      </c>
      <c r="G27" s="16">
        <f>'Data For Analysis'!G27-'Data For Analysis'!G26</f>
        <v>0.34999999999999987</v>
      </c>
      <c r="H27" s="16">
        <f>'Data For Analysis'!H27-'Data For Analysis'!H26</f>
        <v>0.80000000000000027</v>
      </c>
      <c r="I27" s="16">
        <f>'Data For Analysis'!I27-'Data For Analysis'!I26</f>
        <v>0.58333333333333304</v>
      </c>
      <c r="J27" s="16">
        <f>'Data For Analysis'!J27-'Data For Analysis'!J26</f>
        <v>0</v>
      </c>
      <c r="K27" s="16">
        <f>'Data For Analysis'!K27-'Data For Analysis'!K26</f>
        <v>1.3330000000000002</v>
      </c>
      <c r="L27" s="16">
        <f>'Data For Analysis'!L27-'Data For Analysis'!L26</f>
        <v>0.17399999999999993</v>
      </c>
      <c r="M27" s="16">
        <f>'Data For Analysis'!M27-'Data For Analysis'!M26</f>
        <v>1</v>
      </c>
      <c r="N27" s="16">
        <f>'Data For Analysis'!N27-'Data For Analysis'!N26</f>
        <v>0</v>
      </c>
      <c r="O27" s="16">
        <f>'Data For Analysis'!O27-'Data For Analysis'!O26</f>
        <v>1.1663000000000006</v>
      </c>
      <c r="P27" s="16">
        <f>'Data For Analysis'!P27-'Data For Analysis'!P26</f>
        <v>0.30030000000000001</v>
      </c>
      <c r="Q27" s="16">
        <f>'Data For Analysis'!Q27-'Data For Analysis'!Q26</f>
        <v>0.28369999999999962</v>
      </c>
      <c r="R27" s="16">
        <f>'Data For Analysis'!R27-'Data For Analysis'!R26</f>
        <v>1.1669999999999998</v>
      </c>
      <c r="S27" s="16">
        <f>'Data For Analysis'!S27-'Data For Analysis'!S26</f>
        <v>0.49680000000000013</v>
      </c>
      <c r="T27" s="16">
        <f>'Data For Analysis'!T27-'Data For Analysis'!T26</f>
        <v>0.63299999999999979</v>
      </c>
      <c r="U27" s="16">
        <f>'Data For Analysis'!U27-'Data For Analysis'!U26</f>
        <v>0.70000000000000018</v>
      </c>
      <c r="V27" s="16">
        <f>'Data For Analysis'!V27-'Data For Analysis'!V26</f>
        <v>0.58300000000000018</v>
      </c>
      <c r="W27" s="16">
        <f>'Data For Analysis'!W27-'Data For Analysis'!W26</f>
        <v>0.23399999999999999</v>
      </c>
      <c r="X27" s="16">
        <f>'Data For Analysis'!X27-'Data For Analysis'!X26</f>
        <v>0.59999999999999964</v>
      </c>
      <c r="Y27" s="16">
        <f>'Data For Analysis'!Y27-'Data For Analysis'!Y26</f>
        <v>0.58300000000000018</v>
      </c>
      <c r="Z27" s="16">
        <f>'Data For Analysis'!Z27-'Data For Analysis'!Z26</f>
        <v>0.79999999999999982</v>
      </c>
      <c r="AA27" s="16">
        <f>'Data For Analysis'!AA27-'Data For Analysis'!AA26</f>
        <v>1.3330000000000002</v>
      </c>
      <c r="AB27" s="16">
        <f>'Data For Analysis'!AB27-'Data For Analysis'!AB26</f>
        <v>0.61699999999999999</v>
      </c>
      <c r="AC27" s="16">
        <f>'Data For Analysis'!AC27-'Data For Analysis'!AC26</f>
        <v>1.0960000000000001</v>
      </c>
      <c r="AD27" s="16">
        <f>'Data For Analysis'!AD27-'Data For Analysis'!AD26</f>
        <v>0.55799999999999983</v>
      </c>
      <c r="AE27" s="16">
        <f>'Data For Analysis'!AE27-'Data For Analysis'!AE26</f>
        <v>0.82699999999999996</v>
      </c>
      <c r="AF27" s="16">
        <f>'Data For Analysis'!AF27-'Data For Analysis'!AF26</f>
        <v>0.45000000000000018</v>
      </c>
      <c r="AG27" s="16">
        <f>'Data For Analysis'!AG27-'Data For Analysis'!AG26</f>
        <v>0.43399999999999994</v>
      </c>
      <c r="AH27" s="16">
        <f>'Data For Analysis'!AH27-'Data For Analysis'!AH26</f>
        <v>1.2336999999999998</v>
      </c>
      <c r="AI27" s="16">
        <f>'Data For Analysis'!AI27-'Data For Analysis'!AI26</f>
        <v>0.23300000000000054</v>
      </c>
      <c r="AJ27" s="16">
        <f>'Data For Analysis'!AJ27-'Data For Analysis'!AJ26</f>
        <v>1.3829999999999996</v>
      </c>
      <c r="AK27" s="16">
        <f>'Data For Analysis'!AK27-'Data For Analysis'!AK26</f>
        <v>2.5</v>
      </c>
      <c r="AL27" s="16">
        <f>'Data For Analysis'!AL27-'Data For Analysis'!AL26</f>
        <v>0.83300000000000018</v>
      </c>
      <c r="AM27" s="16">
        <f>'Data For Analysis'!AM27-'Data For Analysis'!AM26</f>
        <v>0.63329999999999975</v>
      </c>
      <c r="AN27" s="16">
        <f>'Data For Analysis'!AN27-'Data For Analysis'!AN26</f>
        <v>0.65030000000000143</v>
      </c>
      <c r="AO27" s="16">
        <f>'Data For Analysis'!AO27-'Data For Analysis'!AO26</f>
        <v>0.29999999999999982</v>
      </c>
      <c r="AP27" s="16">
        <f>'Data For Analysis'!AP27-'Data For Analysis'!AP26</f>
        <v>1.3000000000000003</v>
      </c>
      <c r="AQ27" s="16">
        <f>'Data For Analysis'!AQ27-'Data For Analysis'!AQ26</f>
        <v>0.81630000000000003</v>
      </c>
      <c r="AR27" s="16">
        <f>'Data For Analysis'!AR27-'Data For Analysis'!AR26</f>
        <v>0.33299999999999974</v>
      </c>
      <c r="AS27" s="16">
        <f>'Data For Analysis'!AS27-'Data For Analysis'!AS26</f>
        <v>0.58199999999999985</v>
      </c>
      <c r="AT27" s="16">
        <f>'Data For Analysis'!AT27-'Data For Analysis'!AT26</f>
        <v>0.49970000000000003</v>
      </c>
      <c r="AU27" s="16">
        <f>'Data For Analysis'!AU27-'Data For Analysis'!AU26</f>
        <v>0.85000000000000009</v>
      </c>
      <c r="AV27" s="16">
        <f>'Data For Analysis'!AV27-'Data For Analysis'!AV26</f>
        <v>0.42700000000000138</v>
      </c>
      <c r="AW27" s="16">
        <f>'Data For Analysis'!AW27-'Data For Analysis'!AW26</f>
        <v>0.60000000000000009</v>
      </c>
      <c r="AX27" s="16">
        <f>'Data For Analysis'!AX27-'Data For Analysis'!AX26</f>
        <v>2</v>
      </c>
      <c r="AY27" s="16">
        <f>'Data For Analysis'!AY27-'Data For Analysis'!AY26</f>
        <v>0.5</v>
      </c>
      <c r="AZ27" s="16">
        <f>'Data For Analysis'!AZ27-'Data For Analysis'!AZ26</f>
        <v>0.33400000000000007</v>
      </c>
      <c r="BA27" s="16">
        <f>'Data For Analysis'!BA27-'Data For Analysis'!BA26</f>
        <v>0.5</v>
      </c>
      <c r="BB27" s="16">
        <f>'Data For Analysis'!BB27-'Data For Analysis'!BB26</f>
        <v>0.66699999999999982</v>
      </c>
      <c r="BC27" s="16">
        <f>'Data For Analysis'!BC27-'Data For Analysis'!BC26</f>
        <v>0.76600000000000001</v>
      </c>
      <c r="BD27" s="16">
        <f>'Data For Analysis'!BD27-'Data For Analysis'!BD26</f>
        <v>0.60000000000000053</v>
      </c>
      <c r="BE27" s="16">
        <f>'Data For Analysis'!BE27-'Data For Analysis'!BE26</f>
        <v>3.1663000000000006</v>
      </c>
      <c r="BF27" s="16">
        <f>'Data For Analysis'!BF27-'Data For Analysis'!BF26</f>
        <v>0.94999999999999973</v>
      </c>
      <c r="BG27" s="16">
        <f>'Data For Analysis'!BG27-'Data For Analysis'!BG26</f>
        <v>1.2199999999999998</v>
      </c>
      <c r="BH27" s="16">
        <f>'Data For Analysis'!BH27-'Data For Analysis'!BH26</f>
        <v>0.58300000000000018</v>
      </c>
      <c r="BI27" s="16">
        <f>'Data For Analysis'!BI27-'Data For Analysis'!BI26</f>
        <v>0.88200000000000012</v>
      </c>
      <c r="BJ27" s="16">
        <f>'Data For Analysis'!BJ27-'Data For Analysis'!BJ26</f>
        <v>2.7830000000000004</v>
      </c>
      <c r="BK27" s="16">
        <f>'Data For Analysis'!BK27-'Data For Analysis'!BK26</f>
        <v>0.14999999999999991</v>
      </c>
      <c r="BL27" s="16">
        <f>'Data For Analysis'!BL27-'Data For Analysis'!BL26</f>
        <v>0.16179999999999994</v>
      </c>
      <c r="BM27" s="16">
        <f>'Data For Analysis'!BM27-'Data For Analysis'!BM26</f>
        <v>0</v>
      </c>
      <c r="BN27" s="16">
        <f>'Data For Analysis'!BN27-'Data For Analysis'!BN26</f>
        <v>1.5</v>
      </c>
      <c r="BO27" s="16">
        <f>'Data For Analysis'!BO27-'Data For Analysis'!BO26</f>
        <v>0.36599999999999966</v>
      </c>
      <c r="BP27" s="16">
        <f>'Data For Analysis'!BP27-'Data For Analysis'!BP26</f>
        <v>0.36000000000000121</v>
      </c>
      <c r="BQ27" s="16">
        <f>'Data For Analysis'!BQ27-'Data For Analysis'!BQ26</f>
        <v>0.83300000000000018</v>
      </c>
      <c r="BR27" s="16">
        <f>'Data For Analysis'!BR27-'Data For Analysis'!BR26</f>
        <v>0.66670000000000007</v>
      </c>
      <c r="BS27" s="16">
        <f>'Data For Analysis'!BS27-'Data For Analysis'!BS26</f>
        <v>0.17250000000000032</v>
      </c>
      <c r="BT27" s="16">
        <f>'Data For Analysis'!BT27-'Data For Analysis'!BT26</f>
        <v>0.1837000000000002</v>
      </c>
      <c r="BU27" s="16">
        <f>'Data For Analysis'!BU27-'Data For Analysis'!BU26</f>
        <v>0.93330000000000002</v>
      </c>
      <c r="BV27" s="16">
        <f>'Data For Analysis'!BV27-'Data For Analysis'!BV26</f>
        <v>0.31599999999999895</v>
      </c>
      <c r="BW27" s="16">
        <f>'Data For Analysis'!BW27-'Data For Analysis'!BW26</f>
        <v>0</v>
      </c>
      <c r="BX27" s="16">
        <f>'Data For Analysis'!BX27-'Data For Analysis'!BX26</f>
        <v>0.70000000000000018</v>
      </c>
      <c r="BY27" s="16">
        <f>'Data For Analysis'!BY27-'Data For Analysis'!BY26</f>
        <v>0.41629999999999989</v>
      </c>
      <c r="BZ27" s="16">
        <f>'Data For Analysis'!BZ27-'Data For Analysis'!BZ26</f>
        <v>0.46700000000000008</v>
      </c>
      <c r="CA27" s="16">
        <f>'Data For Analysis'!CA27-'Data For Analysis'!CA26</f>
        <v>0.53400000000000003</v>
      </c>
      <c r="CB27" s="16">
        <f>'Data For Analysis'!CB27-'Data For Analysis'!CB26</f>
        <v>1.1159999999999997</v>
      </c>
      <c r="CC27" s="16">
        <f>'Data For Analysis'!CC27-'Data For Analysis'!CC26</f>
        <v>1.2333000000000003</v>
      </c>
      <c r="CD27" s="16">
        <f>'Data For Analysis'!CD27-'Data For Analysis'!CD26</f>
        <v>0.24999999999999978</v>
      </c>
      <c r="CE27" s="16">
        <f>'Data For Analysis'!CE27-'Data For Analysis'!CE26</f>
        <v>9.9999999999999978E-2</v>
      </c>
      <c r="CF27" s="16">
        <f>'Data For Analysis'!CF27-'Data For Analysis'!CF26</f>
        <v>1.9329999999999998</v>
      </c>
      <c r="CG27" s="16">
        <f>'Data For Analysis'!CG27-'Data For Analysis'!CG26</f>
        <v>0.85000000000000053</v>
      </c>
      <c r="CH27" s="16">
        <f>'Data For Analysis'!CH27-'Data For Analysis'!CH26</f>
        <v>0.76700000000000035</v>
      </c>
      <c r="CI27" s="16">
        <f>'Data For Analysis'!CI27-'Data For Analysis'!CI26</f>
        <v>0.63300000000000001</v>
      </c>
      <c r="CJ27" s="16">
        <f>'Data For Analysis'!CJ27-'Data For Analysis'!CJ26</f>
        <v>0.38300000000000001</v>
      </c>
      <c r="CK27" s="16">
        <f>'Data For Analysis'!CK27-'Data For Analysis'!CK26</f>
        <v>0.58300000000000018</v>
      </c>
      <c r="CL27" s="16">
        <f>'Data For Analysis'!CL27-'Data For Analysis'!CL26</f>
        <v>0.41299999999999981</v>
      </c>
      <c r="CM27" s="16">
        <f>'Data For Analysis'!CM27-'Data For Analysis'!CM26</f>
        <v>0.29999999999999982</v>
      </c>
      <c r="CN27" s="16"/>
      <c r="CO27" s="16"/>
      <c r="CP27" s="16"/>
      <c r="CQ27" s="16"/>
      <c r="CR27" s="16"/>
      <c r="CS27" s="16"/>
      <c r="CT27" s="16"/>
    </row>
    <row r="28" spans="1:98" x14ac:dyDescent="0.25">
      <c r="B28" s="1" t="str">
        <f>'Data For Analysis'!B28</f>
        <v>4.f.</v>
      </c>
      <c r="C28" s="6" t="str">
        <f>'Data For Analysis'!C28</f>
        <v>Indirect</v>
      </c>
      <c r="D28" s="16">
        <f>'Data For Analysis'!D28-'Data For Analysis'!D27</f>
        <v>1.416666666666667</v>
      </c>
      <c r="E28" s="16">
        <f>'Data For Analysis'!E28-'Data For Analysis'!E27</f>
        <v>0.88300000000000001</v>
      </c>
      <c r="F28" s="16">
        <f>'Data For Analysis'!F28-'Data For Analysis'!F27</f>
        <v>2.0333333333333332</v>
      </c>
      <c r="G28" s="16">
        <f>'Data For Analysis'!G28-'Data For Analysis'!G27</f>
        <v>0.28300000000000014</v>
      </c>
      <c r="H28" s="16">
        <f>'Data For Analysis'!H28-'Data For Analysis'!H27</f>
        <v>0.31699999999999973</v>
      </c>
      <c r="I28" s="16">
        <f>'Data For Analysis'!I28-'Data For Analysis'!I27</f>
        <v>0.70000000000000018</v>
      </c>
      <c r="J28" s="16">
        <f>'Data For Analysis'!J28-'Data For Analysis'!J27</f>
        <v>0</v>
      </c>
      <c r="K28" s="16">
        <f>'Data For Analysis'!K28-'Data For Analysis'!K27</f>
        <v>0.5</v>
      </c>
      <c r="L28" s="16">
        <f>'Data For Analysis'!L28-'Data For Analysis'!L27</f>
        <v>0.35899999999999999</v>
      </c>
      <c r="M28" s="16">
        <f>'Data For Analysis'!M28-'Data For Analysis'!M27</f>
        <v>2</v>
      </c>
      <c r="N28" s="16">
        <f>'Data For Analysis'!N28-'Data For Analysis'!N27</f>
        <v>0</v>
      </c>
      <c r="O28" s="16">
        <f>'Data For Analysis'!O28-'Data For Analysis'!O27</f>
        <v>0.74969999999999981</v>
      </c>
      <c r="P28" s="16">
        <f>'Data For Analysis'!P28-'Data For Analysis'!P27</f>
        <v>0.13370000000000015</v>
      </c>
      <c r="Q28" s="16">
        <f>'Data For Analysis'!Q28-'Data For Analysis'!Q27</f>
        <v>0.33300000000000018</v>
      </c>
      <c r="R28" s="16">
        <f>'Data For Analysis'!R28-'Data For Analysis'!R27</f>
        <v>0.86699999999999999</v>
      </c>
      <c r="S28" s="16">
        <f>'Data For Analysis'!S28-'Data For Analysis'!S27</f>
        <v>0.2051999999999996</v>
      </c>
      <c r="T28" s="16">
        <f>'Data For Analysis'!T28-'Data For Analysis'!T27</f>
        <v>0.43300000000000027</v>
      </c>
      <c r="U28" s="16">
        <f>'Data For Analysis'!U28-'Data For Analysis'!U27</f>
        <v>0.25</v>
      </c>
      <c r="V28" s="16">
        <f>'Data For Analysis'!V28-'Data For Analysis'!V27</f>
        <v>1.7670000000000003</v>
      </c>
      <c r="W28" s="16">
        <f>'Data For Analysis'!W28-'Data For Analysis'!W27</f>
        <v>0.14999999999999991</v>
      </c>
      <c r="X28" s="16">
        <f>'Data For Analysis'!X28-'Data For Analysis'!X27</f>
        <v>0.66629999999999967</v>
      </c>
      <c r="Y28" s="16">
        <f>'Data For Analysis'!Y28-'Data For Analysis'!Y27</f>
        <v>0.14999999999999991</v>
      </c>
      <c r="Z28" s="16">
        <f>'Data For Analysis'!Z28-'Data For Analysis'!Z27</f>
        <v>0.23399999999999999</v>
      </c>
      <c r="AA28" s="16">
        <f>'Data For Analysis'!AA28-'Data For Analysis'!AA27</f>
        <v>2.3002999999999991</v>
      </c>
      <c r="AB28" s="16">
        <f>'Data For Analysis'!AB28-'Data For Analysis'!AB27</f>
        <v>0.51600000000000001</v>
      </c>
      <c r="AC28" s="16">
        <f>'Data For Analysis'!AC28-'Data For Analysis'!AC27</f>
        <v>1.5899999999999999</v>
      </c>
      <c r="AD28" s="16">
        <f>'Data For Analysis'!AD28-'Data For Analysis'!AD27</f>
        <v>0.32379999999999987</v>
      </c>
      <c r="AE28" s="16">
        <f>'Data For Analysis'!AE28-'Data For Analysis'!AE27</f>
        <v>0.53300000000000036</v>
      </c>
      <c r="AF28" s="16">
        <f>'Data For Analysis'!AF28-'Data For Analysis'!AF27</f>
        <v>0.54999999999999982</v>
      </c>
      <c r="AG28" s="16">
        <f>'Data For Analysis'!AG28-'Data For Analysis'!AG27</f>
        <v>0.2330000000000001</v>
      </c>
      <c r="AH28" s="16">
        <f>'Data For Analysis'!AH28-'Data For Analysis'!AH27</f>
        <v>0.91629999999999967</v>
      </c>
      <c r="AI28" s="16">
        <f>'Data For Analysis'!AI28-'Data For Analysis'!AI27</f>
        <v>0.26699999999999946</v>
      </c>
      <c r="AJ28" s="16">
        <f>'Data For Analysis'!AJ28-'Data For Analysis'!AJ27</f>
        <v>0.25</v>
      </c>
      <c r="AK28" s="16">
        <f>'Data For Analysis'!AK28-'Data For Analysis'!AK27</f>
        <v>1.1669999999999998</v>
      </c>
      <c r="AL28" s="16">
        <f>'Data For Analysis'!AL28-'Data For Analysis'!AL27</f>
        <v>1.0339999999999998</v>
      </c>
      <c r="AM28" s="16">
        <f>'Data For Analysis'!AM28-'Data For Analysis'!AM27</f>
        <v>0.25</v>
      </c>
      <c r="AN28" s="16">
        <f>'Data For Analysis'!AN28-'Data For Analysis'!AN27</f>
        <v>0.8666999999999998</v>
      </c>
      <c r="AO28" s="16">
        <f>'Data For Analysis'!AO28-'Data For Analysis'!AO27</f>
        <v>1.2999999999999998</v>
      </c>
      <c r="AP28" s="16">
        <f>'Data For Analysis'!AP28-'Data For Analysis'!AP27</f>
        <v>0.31699999999999928</v>
      </c>
      <c r="AQ28" s="16">
        <f>'Data For Analysis'!AQ28-'Data For Analysis'!AQ27</f>
        <v>0.20029999999999992</v>
      </c>
      <c r="AR28" s="16">
        <f>'Data For Analysis'!AR28-'Data For Analysis'!AR27</f>
        <v>0.5</v>
      </c>
      <c r="AS28" s="16">
        <f>'Data For Analysis'!AS28-'Data For Analysis'!AS27</f>
        <v>0.46999999999999975</v>
      </c>
      <c r="AT28" s="16">
        <f>'Data For Analysis'!AT28-'Data For Analysis'!AT27</f>
        <v>0.21629999999999994</v>
      </c>
      <c r="AU28" s="16">
        <f>'Data For Analysis'!AU28-'Data For Analysis'!AU27</f>
        <v>0.36599999999999966</v>
      </c>
      <c r="AV28" s="16">
        <f>'Data For Analysis'!AV28-'Data For Analysis'!AV27</f>
        <v>0.19200000000000017</v>
      </c>
      <c r="AW28" s="16">
        <f>'Data For Analysis'!AW28-'Data For Analysis'!AW27</f>
        <v>0.79999999999999982</v>
      </c>
      <c r="AX28" s="16">
        <f>'Data For Analysis'!AX28-'Data For Analysis'!AX27</f>
        <v>0.5</v>
      </c>
      <c r="AY28" s="16">
        <f>'Data For Analysis'!AY28-'Data For Analysis'!AY27</f>
        <v>0.5</v>
      </c>
      <c r="AZ28" s="16">
        <f>'Data For Analysis'!AZ28-'Data For Analysis'!AZ27</f>
        <v>0.43299999999999983</v>
      </c>
      <c r="BA28" s="16">
        <f>'Data For Analysis'!BA28-'Data For Analysis'!BA27</f>
        <v>0.60000000000000009</v>
      </c>
      <c r="BB28" s="16">
        <f>'Data For Analysis'!BB28-'Data For Analysis'!BB27</f>
        <v>0.23299999999999965</v>
      </c>
      <c r="BC28" s="16">
        <f>'Data For Analysis'!BC28-'Data For Analysis'!BC27</f>
        <v>0.5</v>
      </c>
      <c r="BD28" s="16">
        <f>'Data For Analysis'!BD28-'Data For Analysis'!BD27</f>
        <v>0.39999999999999947</v>
      </c>
      <c r="BE28" s="16">
        <f>'Data For Analysis'!BE28-'Data For Analysis'!BE27</f>
        <v>0.83369999999999944</v>
      </c>
      <c r="BF28" s="16">
        <f>'Data For Analysis'!BF28-'Data For Analysis'!BF27</f>
        <v>0.25</v>
      </c>
      <c r="BG28" s="16">
        <f>'Data For Analysis'!BG28-'Data For Analysis'!BG27</f>
        <v>0.46900000000000031</v>
      </c>
      <c r="BH28" s="16">
        <f>'Data For Analysis'!BH28-'Data For Analysis'!BH27</f>
        <v>0.53299999999999992</v>
      </c>
      <c r="BI28" s="16">
        <f>'Data For Analysis'!BI28-'Data For Analysis'!BI27</f>
        <v>0.78100000000000014</v>
      </c>
      <c r="BJ28" s="16">
        <f>'Data For Analysis'!BJ28-'Data For Analysis'!BJ27</f>
        <v>0.5829999999999993</v>
      </c>
      <c r="BK28" s="16">
        <f>'Data For Analysis'!BK28-'Data For Analysis'!BK27</f>
        <v>6.6000000000000059E-2</v>
      </c>
      <c r="BL28" s="16">
        <f>'Data For Analysis'!BL28-'Data For Analysis'!BL27</f>
        <v>1.105</v>
      </c>
      <c r="BM28" s="16">
        <f>'Data For Analysis'!BM28-'Data For Analysis'!BM27</f>
        <v>0</v>
      </c>
      <c r="BN28" s="16">
        <f>'Data For Analysis'!BN28-'Data For Analysis'!BN27</f>
        <v>1</v>
      </c>
      <c r="BO28" s="16">
        <f>'Data For Analysis'!BO28-'Data For Analysis'!BO27</f>
        <v>0.31700000000000017</v>
      </c>
      <c r="BP28" s="16">
        <f>'Data For Analysis'!BP28-'Data For Analysis'!BP27</f>
        <v>0.70899999999999963</v>
      </c>
      <c r="BQ28" s="16">
        <f>'Data For Analysis'!BQ28-'Data For Analysis'!BQ27</f>
        <v>0.2330000000000001</v>
      </c>
      <c r="BR28" s="16">
        <f>'Data For Analysis'!BR28-'Data For Analysis'!BR27</f>
        <v>0.41699999999999982</v>
      </c>
      <c r="BS28" s="16">
        <f>'Data For Analysis'!BS28-'Data For Analysis'!BS27</f>
        <v>0.18999999999999995</v>
      </c>
      <c r="BT28" s="16">
        <f>'Data For Analysis'!BT28-'Data For Analysis'!BT27</f>
        <v>0.13329999999999975</v>
      </c>
      <c r="BU28" s="16">
        <f>'Data For Analysis'!BU28-'Data For Analysis'!BU27</f>
        <v>0.16670000000000007</v>
      </c>
      <c r="BV28" s="16">
        <f>'Data For Analysis'!BV28-'Data For Analysis'!BV27</f>
        <v>0.41699999999999982</v>
      </c>
      <c r="BW28" s="16">
        <f>'Data For Analysis'!BW28-'Data For Analysis'!BW27</f>
        <v>0</v>
      </c>
      <c r="BX28" s="16">
        <f>'Data For Analysis'!BX28-'Data For Analysis'!BX27</f>
        <v>0.88329999999999975</v>
      </c>
      <c r="BY28" s="16">
        <f>'Data For Analysis'!BY28-'Data For Analysis'!BY27</f>
        <v>0.71670000000000011</v>
      </c>
      <c r="BZ28" s="16">
        <f>'Data For Analysis'!BZ28-'Data For Analysis'!BZ27</f>
        <v>0.43299999999999983</v>
      </c>
      <c r="CA28" s="16">
        <f>'Data For Analysis'!CA28-'Data For Analysis'!CA27</f>
        <v>0.33299999999999996</v>
      </c>
      <c r="CB28" s="16">
        <f>'Data For Analysis'!CB28-'Data For Analysis'!CB27</f>
        <v>0.2840000000000007</v>
      </c>
      <c r="CC28" s="16">
        <f>'Data For Analysis'!CC28-'Data For Analysis'!CC27</f>
        <v>0.18369999999999997</v>
      </c>
      <c r="CD28" s="16">
        <f>'Data For Analysis'!CD28-'Data For Analysis'!CD27</f>
        <v>0.13300000000000001</v>
      </c>
      <c r="CE28" s="16">
        <f>'Data For Analysis'!CE28-'Data For Analysis'!CE27</f>
        <v>0.43400000000000005</v>
      </c>
      <c r="CF28" s="16">
        <f>'Data For Analysis'!CF28-'Data For Analysis'!CF27</f>
        <v>2.383</v>
      </c>
      <c r="CG28" s="16">
        <f>'Data For Analysis'!CG28-'Data For Analysis'!CG27</f>
        <v>0.21699999999999964</v>
      </c>
      <c r="CH28" s="16">
        <f>'Data For Analysis'!CH28-'Data For Analysis'!CH27</f>
        <v>0.33300000000000018</v>
      </c>
      <c r="CI28" s="16">
        <f>'Data For Analysis'!CI28-'Data For Analysis'!CI27</f>
        <v>0.66699999999999982</v>
      </c>
      <c r="CJ28" s="16">
        <f>'Data For Analysis'!CJ28-'Data For Analysis'!CJ27</f>
        <v>0.13400000000000012</v>
      </c>
      <c r="CK28" s="16">
        <f>'Data For Analysis'!CK28-'Data For Analysis'!CK27</f>
        <v>0.25</v>
      </c>
      <c r="CL28" s="16">
        <f>'Data For Analysis'!CL28-'Data For Analysis'!CL27</f>
        <v>0.11800000000000033</v>
      </c>
      <c r="CM28" s="16">
        <f>'Data For Analysis'!CM28-'Data For Analysis'!CM27</f>
        <v>0.20000000000000018</v>
      </c>
      <c r="CN28" s="16"/>
      <c r="CO28" s="16"/>
      <c r="CP28" s="16"/>
      <c r="CQ28" s="16"/>
      <c r="CR28" s="16"/>
      <c r="CS28" s="16"/>
      <c r="CT28" s="16"/>
    </row>
    <row r="29" spans="1:98" x14ac:dyDescent="0.25">
      <c r="B29" s="1" t="str">
        <f>'Data For Analysis'!B29</f>
        <v>4.g.</v>
      </c>
      <c r="C29" s="6" t="str">
        <f>'Data For Analysis'!C29</f>
        <v>Indirect</v>
      </c>
      <c r="D29" s="16">
        <f>'Data For Analysis'!D29-'Data For Analysis'!D28</f>
        <v>1.2666666666666666</v>
      </c>
      <c r="E29" s="16">
        <f>'Data For Analysis'!E29-'Data For Analysis'!E28</f>
        <v>0.66699999999999982</v>
      </c>
      <c r="F29" s="16">
        <f>'Data For Analysis'!F29-'Data For Analysis'!F28</f>
        <v>0.5</v>
      </c>
      <c r="G29" s="16">
        <f>'Data For Analysis'!G29-'Data For Analysis'!G28</f>
        <v>0.24999999999999978</v>
      </c>
      <c r="H29" s="16">
        <f>'Data For Analysis'!H29-'Data For Analysis'!H28</f>
        <v>0.41600000000000037</v>
      </c>
      <c r="I29" s="16">
        <f>'Data For Analysis'!I29-'Data For Analysis'!I28</f>
        <v>0.13333333333333375</v>
      </c>
      <c r="J29" s="16">
        <f>'Data For Analysis'!J29-'Data For Analysis'!J28</f>
        <v>0</v>
      </c>
      <c r="K29" s="16">
        <f>'Data For Analysis'!K29-'Data For Analysis'!K28</f>
        <v>1.2829999999999995</v>
      </c>
      <c r="L29" s="16">
        <f>'Data For Analysis'!L29-'Data For Analysis'!L28</f>
        <v>0.82900000000000018</v>
      </c>
      <c r="M29" s="16">
        <f>'Data For Analysis'!M29-'Data For Analysis'!M28</f>
        <v>2</v>
      </c>
      <c r="N29" s="16">
        <f>'Data For Analysis'!N29-'Data For Analysis'!N28</f>
        <v>0</v>
      </c>
      <c r="O29" s="16">
        <f>'Data For Analysis'!O29-'Data For Analysis'!O28</f>
        <v>0.33399999999999963</v>
      </c>
      <c r="P29" s="16">
        <f>'Data For Analysis'!P29-'Data For Analysis'!P28</f>
        <v>0.44999999999999973</v>
      </c>
      <c r="Q29" s="16">
        <f>'Data For Analysis'!Q29-'Data For Analysis'!Q28</f>
        <v>0.46699999999999964</v>
      </c>
      <c r="R29" s="16">
        <f>'Data For Analysis'!R29-'Data For Analysis'!R28</f>
        <v>1.1662999999999997</v>
      </c>
      <c r="S29" s="16">
        <f>'Data For Analysis'!S29-'Data For Analysis'!S28</f>
        <v>0.62200000000000033</v>
      </c>
      <c r="T29" s="16">
        <f>'Data For Analysis'!T29-'Data For Analysis'!T28</f>
        <v>0.85000000000000009</v>
      </c>
      <c r="U29" s="16">
        <f>'Data For Analysis'!U29-'Data For Analysis'!U28</f>
        <v>1.2999999999999998</v>
      </c>
      <c r="V29" s="16">
        <f>'Data For Analysis'!V29-'Data For Analysis'!V28</f>
        <v>3.9169999999999998</v>
      </c>
      <c r="W29" s="16">
        <f>'Data For Analysis'!W29-'Data For Analysis'!W28</f>
        <v>0.75</v>
      </c>
      <c r="X29" s="16">
        <f>'Data For Analysis'!X29-'Data For Analysis'!X28</f>
        <v>0.51670000000000016</v>
      </c>
      <c r="Y29" s="16">
        <f>'Data For Analysis'!Y29-'Data For Analysis'!Y28</f>
        <v>1.2837000000000001</v>
      </c>
      <c r="Z29" s="16">
        <f>'Data For Analysis'!Z29-'Data For Analysis'!Z28</f>
        <v>0.7330000000000001</v>
      </c>
      <c r="AA29" s="16">
        <f>'Data For Analysis'!AA29-'Data For Analysis'!AA28</f>
        <v>0.2497000000000007</v>
      </c>
      <c r="AB29" s="16">
        <f>'Data For Analysis'!AB29-'Data For Analysis'!AB28</f>
        <v>1.234</v>
      </c>
      <c r="AC29" s="16">
        <f>'Data For Analysis'!AC29-'Data For Analysis'!AC28</f>
        <v>0.28099999999999969</v>
      </c>
      <c r="AD29" s="16">
        <f>'Data For Analysis'!AD29-'Data For Analysis'!AD28</f>
        <v>0.20420000000000016</v>
      </c>
      <c r="AE29" s="16">
        <f>'Data For Analysis'!AE29-'Data For Analysis'!AE28</f>
        <v>0</v>
      </c>
      <c r="AF29" s="16">
        <f>'Data For Analysis'!AF29-'Data For Analysis'!AF28</f>
        <v>0.51700000000000035</v>
      </c>
      <c r="AG29" s="16">
        <f>'Data For Analysis'!AG29-'Data For Analysis'!AG28</f>
        <v>0.86699999999999999</v>
      </c>
      <c r="AH29" s="16">
        <f>'Data For Analysis'!AH29-'Data For Analysis'!AH28</f>
        <v>1</v>
      </c>
      <c r="AI29" s="16">
        <f>'Data For Analysis'!AI29-'Data For Analysis'!AI28</f>
        <v>2.1670000000000007</v>
      </c>
      <c r="AJ29" s="16">
        <f>'Data For Analysis'!AJ29-'Data For Analysis'!AJ28</f>
        <v>2.25</v>
      </c>
      <c r="AK29" s="16">
        <f>'Data For Analysis'!AK29-'Data For Analysis'!AK28</f>
        <v>0.5</v>
      </c>
      <c r="AL29" s="16">
        <f>'Data For Analysis'!AL29-'Data For Analysis'!AL28</f>
        <v>0.70000000000000018</v>
      </c>
      <c r="AM29" s="16">
        <f>'Data For Analysis'!AM29-'Data For Analysis'!AM28</f>
        <v>3.2999999999999918E-2</v>
      </c>
      <c r="AN29" s="16">
        <f>'Data For Analysis'!AN29-'Data For Analysis'!AN28</f>
        <v>1.9329999999999998</v>
      </c>
      <c r="AO29" s="16">
        <f>'Data For Analysis'!AO29-'Data For Analysis'!AO28</f>
        <v>1.3339999999999996</v>
      </c>
      <c r="AP29" s="16">
        <f>'Data For Analysis'!AP29-'Data For Analysis'!AP28</f>
        <v>1.25</v>
      </c>
      <c r="AQ29" s="16">
        <f>'Data For Analysis'!AQ29-'Data For Analysis'!AQ28</f>
        <v>0.46669999999999989</v>
      </c>
      <c r="AR29" s="16">
        <f>'Data For Analysis'!AR29-'Data For Analysis'!AR28</f>
        <v>1.117</v>
      </c>
      <c r="AS29" s="16">
        <f>'Data For Analysis'!AS29-'Data For Analysis'!AS28</f>
        <v>0.65700000000000003</v>
      </c>
      <c r="AT29" s="16">
        <f>'Data For Analysis'!AT29-'Data For Analysis'!AT28</f>
        <v>0.16700000000000026</v>
      </c>
      <c r="AU29" s="16">
        <f>'Data For Analysis'!AU29-'Data For Analysis'!AU28</f>
        <v>0.75</v>
      </c>
      <c r="AV29" s="16">
        <f>'Data For Analysis'!AV29-'Data For Analysis'!AV28</f>
        <v>0.50599999999999845</v>
      </c>
      <c r="AW29" s="16">
        <f>'Data For Analysis'!AW29-'Data For Analysis'!AW28</f>
        <v>0.16699999999999982</v>
      </c>
      <c r="AX29" s="16">
        <f>'Data For Analysis'!AX29-'Data For Analysis'!AX28</f>
        <v>1.25</v>
      </c>
      <c r="AY29" s="16">
        <f>'Data For Analysis'!AY29-'Data For Analysis'!AY28</f>
        <v>0.5</v>
      </c>
      <c r="AZ29" s="16">
        <f>'Data For Analysis'!AZ29-'Data For Analysis'!AZ28</f>
        <v>0.26999999999999957</v>
      </c>
      <c r="BA29" s="16">
        <f>'Data For Analysis'!BA29-'Data For Analysis'!BA28</f>
        <v>0.28399999999999981</v>
      </c>
      <c r="BB29" s="16">
        <f>'Data For Analysis'!BB29-'Data For Analysis'!BB28</f>
        <v>0.56700000000000017</v>
      </c>
      <c r="BC29" s="16">
        <f>'Data For Analysis'!BC29-'Data For Analysis'!BC28</f>
        <v>0.21699999999999964</v>
      </c>
      <c r="BD29" s="16">
        <f>'Data For Analysis'!BD29-'Data For Analysis'!BD28</f>
        <v>0.15000000000000036</v>
      </c>
      <c r="BE29" s="16">
        <f>'Data For Analysis'!BE29-'Data For Analysis'!BE28</f>
        <v>0.30000000000000071</v>
      </c>
      <c r="BF29" s="16">
        <f>'Data For Analysis'!BF29-'Data For Analysis'!BF28</f>
        <v>0.29999999999999982</v>
      </c>
      <c r="BG29" s="16">
        <f>'Data For Analysis'!BG29-'Data For Analysis'!BG28</f>
        <v>0.31199999999999939</v>
      </c>
      <c r="BH29" s="16">
        <f>'Data For Analysis'!BH29-'Data For Analysis'!BH28</f>
        <v>0.86700000000000044</v>
      </c>
      <c r="BI29" s="16">
        <f>'Data For Analysis'!BI29-'Data For Analysis'!BI28</f>
        <v>1.0989999999999993</v>
      </c>
      <c r="BJ29" s="16">
        <f>'Data For Analysis'!BJ29-'Data For Analysis'!BJ28</f>
        <v>1.0503000000000009</v>
      </c>
      <c r="BK29" s="16">
        <f>'Data For Analysis'!BK29-'Data For Analysis'!BK28</f>
        <v>0</v>
      </c>
      <c r="BL29" s="16">
        <f>'Data For Analysis'!BL29-'Data For Analysis'!BL28</f>
        <v>0.45999999999999996</v>
      </c>
      <c r="BM29" s="16">
        <f>'Data For Analysis'!BM29-'Data For Analysis'!BM28</f>
        <v>0</v>
      </c>
      <c r="BN29" s="16">
        <f>'Data For Analysis'!BN29-'Data For Analysis'!BN28</f>
        <v>1.2500000000000009</v>
      </c>
      <c r="BO29" s="16">
        <f>'Data For Analysis'!BO29-'Data For Analysis'!BO28</f>
        <v>0.5</v>
      </c>
      <c r="BP29" s="16">
        <f>'Data For Analysis'!BP29-'Data For Analysis'!BP28</f>
        <v>1.6189999999999998</v>
      </c>
      <c r="BQ29" s="16">
        <f>'Data For Analysis'!BQ29-'Data For Analysis'!BQ28</f>
        <v>1.1669999999999998</v>
      </c>
      <c r="BR29" s="16">
        <f>'Data For Analysis'!BR29-'Data For Analysis'!BR28</f>
        <v>0.46600000000000019</v>
      </c>
      <c r="BS29" s="16">
        <f>'Data For Analysis'!BS29-'Data For Analysis'!BS28</f>
        <v>7.4999999999999734E-2</v>
      </c>
      <c r="BT29" s="16">
        <f>'Data For Analysis'!BT29-'Data For Analysis'!BT28</f>
        <v>1.2170000000000001</v>
      </c>
      <c r="BU29" s="16">
        <f>'Data For Analysis'!BU29-'Data For Analysis'!BU28</f>
        <v>0.31699999999999973</v>
      </c>
      <c r="BV29" s="16">
        <f>'Data For Analysis'!BV29-'Data For Analysis'!BV28</f>
        <v>0.25</v>
      </c>
      <c r="BW29" s="16">
        <f>'Data For Analysis'!BW29-'Data For Analysis'!BW28</f>
        <v>0</v>
      </c>
      <c r="BX29" s="16">
        <f>'Data For Analysis'!BX29-'Data For Analysis'!BX28</f>
        <v>0.28370000000000006</v>
      </c>
      <c r="BY29" s="16">
        <f>'Data For Analysis'!BY29-'Data For Analysis'!BY28</f>
        <v>0.16700000000000004</v>
      </c>
      <c r="BZ29" s="16">
        <f>'Data For Analysis'!BZ29-'Data For Analysis'!BZ28</f>
        <v>0.41699999999999982</v>
      </c>
      <c r="CA29" s="16">
        <f>'Data For Analysis'!CA29-'Data For Analysis'!CA28</f>
        <v>0.21699999999999986</v>
      </c>
      <c r="CB29" s="16">
        <f>'Data For Analysis'!CB29-'Data For Analysis'!CB28</f>
        <v>1.5</v>
      </c>
      <c r="CC29" s="16">
        <f>'Data For Analysis'!CC29-'Data For Analysis'!CC28</f>
        <v>0.53299999999999947</v>
      </c>
      <c r="CD29" s="16">
        <f>'Data For Analysis'!CD29-'Data For Analysis'!CD28</f>
        <v>1.7000000000000348E-2</v>
      </c>
      <c r="CE29" s="16">
        <f>'Data For Analysis'!CE29-'Data For Analysis'!CE28</f>
        <v>0.36599999999999988</v>
      </c>
      <c r="CF29" s="16">
        <f>'Data For Analysis'!CF29-'Data For Analysis'!CF28</f>
        <v>0.75000000000000089</v>
      </c>
      <c r="CG29" s="16">
        <f>'Data For Analysis'!CG29-'Data For Analysis'!CG28</f>
        <v>0.59999999999999964</v>
      </c>
      <c r="CH29" s="16">
        <f>'Data For Analysis'!CH29-'Data For Analysis'!CH28</f>
        <v>9.9499999999999993</v>
      </c>
      <c r="CI29" s="16">
        <f>'Data For Analysis'!CI29-'Data For Analysis'!CI28</f>
        <v>1.25</v>
      </c>
      <c r="CJ29" s="16">
        <f>'Data For Analysis'!CJ29-'Data For Analysis'!CJ28</f>
        <v>0.51600000000000001</v>
      </c>
      <c r="CK29" s="16">
        <f>'Data For Analysis'!CK29-'Data For Analysis'!CK28</f>
        <v>8.3300000000000374E-2</v>
      </c>
      <c r="CL29" s="16">
        <f>'Data For Analysis'!CL29-'Data For Analysis'!CL28</f>
        <v>0.30099999999999971</v>
      </c>
      <c r="CM29" s="16">
        <f>'Data For Analysis'!CM29-'Data For Analysis'!CM28</f>
        <v>1.5830000000000002</v>
      </c>
      <c r="CN29" s="16"/>
      <c r="CO29" s="16"/>
      <c r="CP29" s="16"/>
      <c r="CQ29" s="16"/>
      <c r="CR29" s="16"/>
      <c r="CS29" s="16"/>
      <c r="CT29" s="16"/>
    </row>
    <row r="30" spans="1:98" x14ac:dyDescent="0.25">
      <c r="B30" s="1" t="str">
        <f>'Data For Analysis'!B30</f>
        <v>4.h.</v>
      </c>
      <c r="C30" s="6" t="str">
        <f>'Data For Analysis'!C30</f>
        <v>Indirect</v>
      </c>
      <c r="D30" s="16">
        <f>'Data For Analysis'!D30-'Data For Analysis'!D29</f>
        <v>2.583333333333333</v>
      </c>
      <c r="E30" s="16">
        <f>'Data For Analysis'!E30-'Data For Analysis'!E29</f>
        <v>0.53300000000000036</v>
      </c>
      <c r="F30" s="16">
        <f>'Data For Analysis'!F30-'Data For Analysis'!F29</f>
        <v>1.0166666666666675</v>
      </c>
      <c r="G30" s="16">
        <f>'Data For Analysis'!G30-'Data For Analysis'!G29</f>
        <v>0.60000000000000009</v>
      </c>
      <c r="H30" s="16">
        <f>'Data For Analysis'!H30-'Data For Analysis'!H29</f>
        <v>0.38399999999999945</v>
      </c>
      <c r="I30" s="16">
        <f>'Data For Analysis'!I30-'Data For Analysis'!I29</f>
        <v>0.93333333333333268</v>
      </c>
      <c r="J30" s="16">
        <f>'Data For Analysis'!J30-'Data For Analysis'!J29</f>
        <v>0.31666666666666665</v>
      </c>
      <c r="K30" s="16">
        <f>'Data For Analysis'!K30-'Data For Analysis'!K29</f>
        <v>0.13400000000000123</v>
      </c>
      <c r="L30" s="16">
        <f>'Data For Analysis'!L30-'Data For Analysis'!L29</f>
        <v>0.89579999999999993</v>
      </c>
      <c r="M30" s="16">
        <f>'Data For Analysis'!M30-'Data For Analysis'!M29</f>
        <v>0.5</v>
      </c>
      <c r="N30" s="16">
        <f>'Data For Analysis'!N30-'Data For Analysis'!N29</f>
        <v>0</v>
      </c>
      <c r="O30" s="16">
        <f>'Data For Analysis'!O30-'Data For Analysis'!O29</f>
        <v>0.2159999999999993</v>
      </c>
      <c r="P30" s="16">
        <f>'Data For Analysis'!P30-'Data For Analysis'!P29</f>
        <v>5.0000000000000266E-2</v>
      </c>
      <c r="Q30" s="16">
        <f>'Data For Analysis'!Q30-'Data For Analysis'!Q29</f>
        <v>0.40000000000000036</v>
      </c>
      <c r="R30" s="16">
        <f>'Data For Analysis'!R30-'Data For Analysis'!R29</f>
        <v>0.46670000000000034</v>
      </c>
      <c r="S30" s="16">
        <f>'Data For Analysis'!S30-'Data For Analysis'!S29</f>
        <v>0.44099999999999984</v>
      </c>
      <c r="T30" s="16">
        <f>'Data For Analysis'!T30-'Data For Analysis'!T29</f>
        <v>1.484</v>
      </c>
      <c r="U30" s="16">
        <f>'Data For Analysis'!U30-'Data For Analysis'!U29</f>
        <v>0.75</v>
      </c>
      <c r="V30" s="16">
        <f>'Data For Analysis'!V30-'Data For Analysis'!V29</f>
        <v>2.1159999999999997</v>
      </c>
      <c r="W30" s="16">
        <f>'Data For Analysis'!W30-'Data For Analysis'!W29</f>
        <v>0.21600000000000019</v>
      </c>
      <c r="X30" s="16">
        <f>'Data For Analysis'!X30-'Data For Analysis'!X29</f>
        <v>8.3000000000000185E-2</v>
      </c>
      <c r="Y30" s="16">
        <f>'Data For Analysis'!Y30-'Data For Analysis'!Y29</f>
        <v>0.95029999999999948</v>
      </c>
      <c r="Z30" s="16">
        <f>'Data For Analysis'!Z30-'Data For Analysis'!Z29</f>
        <v>0.33299999999999974</v>
      </c>
      <c r="AA30" s="16">
        <f>'Data For Analysis'!AA30-'Data For Analysis'!AA29</f>
        <v>1.699999999999946E-2</v>
      </c>
      <c r="AB30" s="16">
        <f>'Data For Analysis'!AB30-'Data For Analysis'!AB29</f>
        <v>0.83300000000000018</v>
      </c>
      <c r="AC30" s="16">
        <f>'Data For Analysis'!AC30-'Data For Analysis'!AC29</f>
        <v>0.16000000000000014</v>
      </c>
      <c r="AD30" s="16">
        <f>'Data For Analysis'!AD30-'Data For Analysis'!AD29</f>
        <v>0.51600000000000001</v>
      </c>
      <c r="AE30" s="16">
        <f>'Data For Analysis'!AE30-'Data For Analysis'!AE29</f>
        <v>0.76799999999999979</v>
      </c>
      <c r="AF30" s="16">
        <f>'Data For Analysis'!AF30-'Data For Analysis'!AF29</f>
        <v>0.36599999999999966</v>
      </c>
      <c r="AG30" s="16">
        <f>'Data For Analysis'!AG30-'Data For Analysis'!AG29</f>
        <v>0.2330000000000001</v>
      </c>
      <c r="AH30" s="16">
        <f>'Data For Analysis'!AH30-'Data For Analysis'!AH29</f>
        <v>0.83399999999999963</v>
      </c>
      <c r="AI30" s="16">
        <f>'Data For Analysis'!AI30-'Data For Analysis'!AI29</f>
        <v>0.28299999999999947</v>
      </c>
      <c r="AJ30" s="16">
        <f>'Data For Analysis'!AJ30-'Data For Analysis'!AJ29</f>
        <v>0.11699999999999999</v>
      </c>
      <c r="AK30" s="16">
        <f>'Data For Analysis'!AK30-'Data For Analysis'!AK29</f>
        <v>0.33300000000000018</v>
      </c>
      <c r="AL30" s="16">
        <f>'Data For Analysis'!AL30-'Data For Analysis'!AL29</f>
        <v>1.4500000000000002</v>
      </c>
      <c r="AM30" s="16">
        <f>'Data For Analysis'!AM30-'Data For Analysis'!AM29</f>
        <v>0.35000000000000009</v>
      </c>
      <c r="AN30" s="16">
        <f>'Data For Analysis'!AN30-'Data For Analysis'!AN29</f>
        <v>0.58399999999999963</v>
      </c>
      <c r="AO30" s="16">
        <f>'Data For Analysis'!AO30-'Data For Analysis'!AO29</f>
        <v>0.40000000000000036</v>
      </c>
      <c r="AP30" s="16">
        <f>'Data For Analysis'!AP30-'Data For Analysis'!AP29</f>
        <v>0.38300000000000001</v>
      </c>
      <c r="AQ30" s="16">
        <f>'Data For Analysis'!AQ30-'Data For Analysis'!AQ29</f>
        <v>0.28299999999999992</v>
      </c>
      <c r="AR30" s="16">
        <f>'Data For Analysis'!AR30-'Data For Analysis'!AR29</f>
        <v>0.29999999999999982</v>
      </c>
      <c r="AS30" s="16">
        <f>'Data For Analysis'!AS30-'Data For Analysis'!AS29</f>
        <v>0.18900000000000006</v>
      </c>
      <c r="AT30" s="16">
        <f>'Data For Analysis'!AT30-'Data For Analysis'!AT29</f>
        <v>6.6999999999999726E-2</v>
      </c>
      <c r="AU30" s="16">
        <f>'Data For Analysis'!AU30-'Data For Analysis'!AU29</f>
        <v>0.25</v>
      </c>
      <c r="AV30" s="16">
        <f>'Data For Analysis'!AV30-'Data For Analysis'!AV29</f>
        <v>6.0500000000000025</v>
      </c>
      <c r="AW30" s="16">
        <f>'Data For Analysis'!AW30-'Data For Analysis'!AW29</f>
        <v>0.16699999999999982</v>
      </c>
      <c r="AX30" s="16">
        <f>'Data For Analysis'!AX30-'Data For Analysis'!AX29</f>
        <v>0.25</v>
      </c>
      <c r="AY30" s="16">
        <f>'Data For Analysis'!AY30-'Data For Analysis'!AY29</f>
        <v>0.5</v>
      </c>
      <c r="AZ30" s="16">
        <f>'Data For Analysis'!AZ30-'Data For Analysis'!AZ29</f>
        <v>0.44700000000000006</v>
      </c>
      <c r="BA30" s="16">
        <f>'Data For Analysis'!BA30-'Data For Analysis'!BA29</f>
        <v>0.13300000000000001</v>
      </c>
      <c r="BB30" s="16">
        <f>'Data For Analysis'!BB30-'Data For Analysis'!BB29</f>
        <v>0.20000000000000018</v>
      </c>
      <c r="BC30" s="16">
        <f>'Data For Analysis'!BC30-'Data For Analysis'!BC29</f>
        <v>0.16670000000000051</v>
      </c>
      <c r="BD30" s="16">
        <f>'Data For Analysis'!BD30-'Data For Analysis'!BD29</f>
        <v>0.53299999999999947</v>
      </c>
      <c r="BE30" s="16">
        <f>'Data For Analysis'!BE30-'Data For Analysis'!BE29</f>
        <v>0.59999999999999964</v>
      </c>
      <c r="BF30" s="16">
        <f>'Data For Analysis'!BF30-'Data For Analysis'!BF29</f>
        <v>0.51600000000000001</v>
      </c>
      <c r="BG30" s="16">
        <f>'Data For Analysis'!BG30-'Data For Analysis'!BG29</f>
        <v>0.19899999999999984</v>
      </c>
      <c r="BH30" s="16">
        <f>'Data For Analysis'!BH30-'Data For Analysis'!BH29</f>
        <v>0.38329999999999931</v>
      </c>
      <c r="BI30" s="16">
        <f>'Data For Analysis'!BI30-'Data For Analysis'!BI29</f>
        <v>0.49870000000000037</v>
      </c>
      <c r="BJ30" s="16">
        <f>'Data For Analysis'!BJ30-'Data For Analysis'!BJ29</f>
        <v>0.21669999999999945</v>
      </c>
      <c r="BK30" s="16">
        <f>'Data For Analysis'!BK30-'Data For Analysis'!BK29</f>
        <v>0.15000000000000013</v>
      </c>
      <c r="BL30" s="16">
        <f>'Data For Analysis'!BL30-'Data For Analysis'!BL29</f>
        <v>0.26219999999999999</v>
      </c>
      <c r="BM30" s="16">
        <f>'Data For Analysis'!BM30-'Data For Analysis'!BM29</f>
        <v>0</v>
      </c>
      <c r="BN30" s="16">
        <f>'Data For Analysis'!BN30-'Data For Analysis'!BN29</f>
        <v>2.0999999999999996</v>
      </c>
      <c r="BO30" s="16">
        <f>'Data For Analysis'!BO30-'Data For Analysis'!BO29</f>
        <v>0.45000000000000018</v>
      </c>
      <c r="BP30" s="16">
        <f>'Data For Analysis'!BP30-'Data For Analysis'!BP29</f>
        <v>1.9489999999999998</v>
      </c>
      <c r="BQ30" s="16">
        <f>'Data For Analysis'!BQ30-'Data For Analysis'!BQ29</f>
        <v>8.3000000000000185E-2</v>
      </c>
      <c r="BR30" s="16">
        <f>'Data For Analysis'!BR30-'Data For Analysis'!BR29</f>
        <v>0.2669999999999999</v>
      </c>
      <c r="BS30" s="16">
        <f>'Data For Analysis'!BS30-'Data For Analysis'!BS29</f>
        <v>8.4999999999999964E-2</v>
      </c>
      <c r="BT30" s="16">
        <f>'Data For Analysis'!BT30-'Data For Analysis'!BT29</f>
        <v>0.1160000000000001</v>
      </c>
      <c r="BU30" s="16">
        <f>'Data For Analysis'!BU30-'Data For Analysis'!BU29</f>
        <v>0.28299999999999992</v>
      </c>
      <c r="BV30" s="16">
        <f>'Data For Analysis'!BV30-'Data For Analysis'!BV29</f>
        <v>5.0000000000000711E-2</v>
      </c>
      <c r="BW30" s="16">
        <f>'Data For Analysis'!BW30-'Data For Analysis'!BW29</f>
        <v>0</v>
      </c>
      <c r="BX30" s="16">
        <f>'Data For Analysis'!BX30-'Data For Analysis'!BX29</f>
        <v>0.24900000000000011</v>
      </c>
      <c r="BY30" s="16">
        <f>'Data For Analysis'!BY30-'Data For Analysis'!BY29</f>
        <v>0.19999999999999973</v>
      </c>
      <c r="BZ30" s="16">
        <f>'Data For Analysis'!BZ30-'Data For Analysis'!BZ29</f>
        <v>0.26600000000000001</v>
      </c>
      <c r="CA30" s="16">
        <f>'Data For Analysis'!CA30-'Data For Analysis'!CA29</f>
        <v>0.10000000000000009</v>
      </c>
      <c r="CB30" s="16">
        <f>'Data For Analysis'!CB30-'Data For Analysis'!CB29</f>
        <v>0.58299999999999841</v>
      </c>
      <c r="CC30" s="16">
        <f>'Data For Analysis'!CC30-'Data For Analysis'!CC29</f>
        <v>1.3500000000000005</v>
      </c>
      <c r="CD30" s="16">
        <f>'Data For Analysis'!CD30-'Data For Analysis'!CD29</f>
        <v>0.41699999999999982</v>
      </c>
      <c r="CE30" s="16">
        <f>'Data For Analysis'!CE30-'Data For Analysis'!CE29</f>
        <v>0.78400000000000003</v>
      </c>
      <c r="CF30" s="16">
        <f>'Data For Analysis'!CF30-'Data For Analysis'!CF29</f>
        <v>0.53399999999999892</v>
      </c>
      <c r="CG30" s="16">
        <f>'Data For Analysis'!CG30-'Data For Analysis'!CG29</f>
        <v>1.1500000000000004</v>
      </c>
      <c r="CH30" s="16">
        <f>'Data For Analysis'!CH30-'Data For Analysis'!CH29</f>
        <v>3.0000000000000018</v>
      </c>
      <c r="CI30" s="16">
        <f>'Data For Analysis'!CI30-'Data For Analysis'!CI29</f>
        <v>0.25</v>
      </c>
      <c r="CJ30" s="16">
        <f>'Data For Analysis'!CJ30-'Data For Analysis'!CJ29</f>
        <v>0.19999999999999973</v>
      </c>
      <c r="CK30" s="16">
        <f>'Data For Analysis'!CK30-'Data For Analysis'!CK29</f>
        <v>8.3699999999999442E-2</v>
      </c>
      <c r="CL30" s="16">
        <f>'Data For Analysis'!CL30-'Data For Analysis'!CL29</f>
        <v>0.45000000000000018</v>
      </c>
      <c r="CM30" s="16">
        <f>'Data For Analysis'!CM30-'Data For Analysis'!CM29</f>
        <v>2.0169999999999995</v>
      </c>
      <c r="CN30" s="16"/>
      <c r="CO30" s="16"/>
      <c r="CP30" s="16"/>
      <c r="CQ30" s="16"/>
      <c r="CR30" s="16"/>
      <c r="CS30" s="16"/>
      <c r="CT30" s="16"/>
    </row>
    <row r="31" spans="1:98" x14ac:dyDescent="0.25">
      <c r="B31" s="1" t="str">
        <f>'Data For Analysis'!B31</f>
        <v>4.i.</v>
      </c>
      <c r="C31" s="6" t="str">
        <f>'Data For Analysis'!C31</f>
        <v>Indirect</v>
      </c>
      <c r="D31" s="16">
        <f>'Data For Analysis'!D31-'Data For Analysis'!D30</f>
        <v>2.4833333333333343</v>
      </c>
      <c r="E31" s="16">
        <f>'Data For Analysis'!E31-'Data For Analysis'!E30</f>
        <v>1.5</v>
      </c>
      <c r="F31" s="16">
        <f>'Data For Analysis'!F31-'Data For Analysis'!F30</f>
        <v>0.33333333333333393</v>
      </c>
      <c r="G31" s="16">
        <f>'Data For Analysis'!G31-'Data For Analysis'!G30</f>
        <v>1.9499999999999997</v>
      </c>
      <c r="H31" s="16">
        <f>'Data For Analysis'!H31-'Data For Analysis'!H30</f>
        <v>4.2160000000000002</v>
      </c>
      <c r="I31" s="16">
        <f>'Data For Analysis'!I31-'Data For Analysis'!I30</f>
        <v>1.1000000000000005</v>
      </c>
      <c r="J31" s="16">
        <f>'Data For Analysis'!J31-'Data For Analysis'!J30</f>
        <v>2.333333333333333</v>
      </c>
      <c r="K31" s="16">
        <f>'Data For Analysis'!K31-'Data For Analysis'!K30</f>
        <v>6.7329999999999988</v>
      </c>
      <c r="L31" s="16">
        <f>'Data For Analysis'!L31-'Data For Analysis'!L30</f>
        <v>3.7202000000000002</v>
      </c>
      <c r="M31" s="16">
        <f>'Data For Analysis'!M31-'Data For Analysis'!M30</f>
        <v>0.33333333333333393</v>
      </c>
      <c r="N31" s="16">
        <f>'Data For Analysis'!N31-'Data For Analysis'!N30</f>
        <v>0.48399999999999999</v>
      </c>
      <c r="O31" s="16">
        <f>'Data For Analysis'!O31-'Data For Analysis'!O30</f>
        <v>2.5840000000000014</v>
      </c>
      <c r="P31" s="16">
        <f>'Data For Analysis'!P31-'Data For Analysis'!P30</f>
        <v>0.79999999999999982</v>
      </c>
      <c r="Q31" s="16">
        <f>'Data For Analysis'!Q31-'Data For Analysis'!Q30</f>
        <v>12.149999999999999</v>
      </c>
      <c r="R31" s="16">
        <f>'Data For Analysis'!R31-'Data For Analysis'!R30</f>
        <v>2.25</v>
      </c>
      <c r="S31" s="16">
        <f>'Data For Analysis'!S31-'Data For Analysis'!S30</f>
        <v>3.7094999999999998</v>
      </c>
      <c r="T31" s="16">
        <f>'Data For Analysis'!T31-'Data For Analysis'!T30</f>
        <v>0.45000000000000018</v>
      </c>
      <c r="U31" s="16">
        <f>'Data For Analysis'!U31-'Data For Analysis'!U30</f>
        <v>4.3999999999999995</v>
      </c>
      <c r="V31" s="16">
        <f>'Data For Analysis'!V31-'Data For Analysis'!V30</f>
        <v>1.5670000000000002</v>
      </c>
      <c r="W31" s="16">
        <f>'Data For Analysis'!W31-'Data For Analysis'!W30</f>
        <v>3.25</v>
      </c>
      <c r="X31" s="16">
        <f>'Data For Analysis'!X31-'Data For Analysis'!X30</f>
        <v>2.0499999999999998</v>
      </c>
      <c r="Y31" s="16">
        <f>'Data For Analysis'!Y31-'Data For Analysis'!Y30</f>
        <v>1.4830000000000005</v>
      </c>
      <c r="Z31" s="16">
        <f>'Data For Analysis'!Z31-'Data For Analysis'!Z30</f>
        <v>0.51700000000000035</v>
      </c>
      <c r="AA31" s="16">
        <f>'Data For Analysis'!AA31-'Data For Analysis'!AA30</f>
        <v>2.1669999999999998</v>
      </c>
      <c r="AB31" s="16">
        <f>'Data For Analysis'!AB31-'Data For Analysis'!AB30</f>
        <v>1.7000000000000002</v>
      </c>
      <c r="AC31" s="16">
        <f>'Data For Analysis'!AC31-'Data For Analysis'!AC30</f>
        <v>3.0300000000000002</v>
      </c>
      <c r="AD31" s="16">
        <f>'Data For Analysis'!AD31-'Data For Analysis'!AD30</f>
        <v>0.48799999999999955</v>
      </c>
      <c r="AE31" s="16">
        <f>'Data For Analysis'!AE31-'Data For Analysis'!AE30</f>
        <v>1.0939999999999994</v>
      </c>
      <c r="AF31" s="16">
        <f>'Data For Analysis'!AF31-'Data For Analysis'!AF30</f>
        <v>1.6340000000000003</v>
      </c>
      <c r="AG31" s="16">
        <f>'Data For Analysis'!AG31-'Data For Analysis'!AG30</f>
        <v>1.4332999999999996</v>
      </c>
      <c r="AH31" s="16">
        <f>'Data For Analysis'!AH31-'Data For Analysis'!AH30</f>
        <v>2.3659999999999997</v>
      </c>
      <c r="AI31" s="16">
        <f>'Data For Analysis'!AI31-'Data For Analysis'!AI30</f>
        <v>0.41699999999999982</v>
      </c>
      <c r="AJ31" s="16">
        <f>'Data For Analysis'!AJ31-'Data For Analysis'!AJ30</f>
        <v>2.0160000000000009</v>
      </c>
      <c r="AK31" s="16">
        <f>'Data For Analysis'!AK31-'Data For Analysis'!AK30</f>
        <v>5.4169999999999998</v>
      </c>
      <c r="AL31" s="16">
        <f>'Data For Analysis'!AL31-'Data For Analysis'!AL30</f>
        <v>3.5</v>
      </c>
      <c r="AM31" s="16">
        <f>'Data For Analysis'!AM31-'Data For Analysis'!AM30</f>
        <v>1.0840000000000001</v>
      </c>
      <c r="AN31" s="16">
        <f>'Data For Analysis'!AN31-'Data For Analysis'!AN30</f>
        <v>0.55499999999999972</v>
      </c>
      <c r="AO31" s="16">
        <f>'Data For Analysis'!AO31-'Data For Analysis'!AO30</f>
        <v>6.4830000000000005</v>
      </c>
      <c r="AP31" s="16">
        <f>'Data For Analysis'!AP31-'Data For Analysis'!AP30</f>
        <v>7.05</v>
      </c>
      <c r="AQ31" s="16">
        <f>'Data For Analysis'!AQ31-'Data For Analysis'!AQ30</f>
        <v>2.9670000000000001</v>
      </c>
      <c r="AR31" s="16">
        <f>'Data For Analysis'!AR31-'Data For Analysis'!AR30</f>
        <v>0.6670000000000007</v>
      </c>
      <c r="AS31" s="16">
        <f>'Data For Analysis'!AS31-'Data For Analysis'!AS30</f>
        <v>2.6590000000000007</v>
      </c>
      <c r="AT31" s="16">
        <f>'Data For Analysis'!AT31-'Data For Analysis'!AT30</f>
        <v>1.6830000000000003</v>
      </c>
      <c r="AU31" s="16">
        <f>'Data For Analysis'!AU31-'Data For Analysis'!AU30</f>
        <v>1.4500000000000002</v>
      </c>
      <c r="AV31" s="16">
        <f>'Data For Analysis'!AV31-'Data For Analysis'!AV30</f>
        <v>1.8029999999999973</v>
      </c>
      <c r="AW31" s="16">
        <f>'Data For Analysis'!AW31-'Data For Analysis'!AW30</f>
        <v>4.0000000000000009</v>
      </c>
      <c r="AX31" s="16">
        <f>'Data For Analysis'!AX31-'Data For Analysis'!AX30</f>
        <v>3.0830000000000002</v>
      </c>
      <c r="AY31" s="16">
        <f>'Data For Analysis'!AY31-'Data For Analysis'!AY30</f>
        <v>0.5</v>
      </c>
      <c r="AZ31" s="16">
        <f>'Data For Analysis'!AZ31-'Data For Analysis'!AZ30</f>
        <v>0.96600000000000019</v>
      </c>
      <c r="BA31" s="16">
        <f>'Data For Analysis'!BA31-'Data For Analysis'!BA30</f>
        <v>2.133</v>
      </c>
      <c r="BB31" s="16">
        <f>'Data For Analysis'!BB31-'Data For Analysis'!BB30</f>
        <v>1.25</v>
      </c>
      <c r="BC31" s="16">
        <f>'Data For Analysis'!BC31-'Data For Analysis'!BC30</f>
        <v>1.0332999999999997</v>
      </c>
      <c r="BD31" s="16">
        <f>'Data For Analysis'!BD31-'Data For Analysis'!BD30</f>
        <v>0.80030000000000001</v>
      </c>
      <c r="BE31" s="16">
        <f>'Data For Analysis'!BE31-'Data For Analysis'!BE30</f>
        <v>3.2662999999999993</v>
      </c>
      <c r="BF31" s="16">
        <f>'Data For Analysis'!BF31-'Data For Analysis'!BF30</f>
        <v>1.4500000000000002</v>
      </c>
      <c r="BG31" s="16">
        <f>'Data For Analysis'!BG31-'Data For Analysis'!BG30</f>
        <v>1.2880000000000003</v>
      </c>
      <c r="BH31" s="16">
        <f>'Data For Analysis'!BH31-'Data For Analysis'!BH30</f>
        <v>2.0334000000000003</v>
      </c>
      <c r="BI31" s="16">
        <f>'Data For Analysis'!BI31-'Data For Analysis'!BI30</f>
        <v>0.83530000000000015</v>
      </c>
      <c r="BJ31" s="16">
        <f>'Data For Analysis'!BJ31-'Data For Analysis'!BJ30</f>
        <v>2.5169999999999995</v>
      </c>
      <c r="BK31" s="16">
        <f>'Data For Analysis'!BK31-'Data For Analysis'!BK30</f>
        <v>1.0169999999999999</v>
      </c>
      <c r="BL31" s="16">
        <f>'Data For Analysis'!BL31-'Data For Analysis'!BL30</f>
        <v>0.86280000000000001</v>
      </c>
      <c r="BM31" s="16">
        <f>'Data For Analysis'!BM31-'Data For Analysis'!BM30</f>
        <v>0.25</v>
      </c>
      <c r="BN31" s="16">
        <f>'Data For Analysis'!BN31-'Data For Analysis'!BN30</f>
        <v>2</v>
      </c>
      <c r="BO31" s="16">
        <f>'Data For Analysis'!BO31-'Data For Analysis'!BO30</f>
        <v>1.2999999999999998</v>
      </c>
      <c r="BP31" s="16">
        <f>'Data For Analysis'!BP31-'Data For Analysis'!BP30</f>
        <v>6.2449999999999992</v>
      </c>
      <c r="BQ31" s="16">
        <f>'Data For Analysis'!BQ31-'Data For Analysis'!BQ30</f>
        <v>1.7000000000000002</v>
      </c>
      <c r="BR31" s="16">
        <f>'Data For Analysis'!BR31-'Data For Analysis'!BR30</f>
        <v>1.65</v>
      </c>
      <c r="BS31" s="16">
        <f>'Data For Analysis'!BS31-'Data For Analysis'!BS30</f>
        <v>0.87070000000000025</v>
      </c>
      <c r="BT31" s="16">
        <f>'Data For Analysis'!BT31-'Data For Analysis'!BT30</f>
        <v>1.0669999999999997</v>
      </c>
      <c r="BU31" s="16">
        <f>'Data For Analysis'!BU31-'Data For Analysis'!BU30</f>
        <v>1.7999999999999998</v>
      </c>
      <c r="BV31" s="16">
        <f>'Data For Analysis'!BV31-'Data For Analysis'!BV30</f>
        <v>2.1500000000000004</v>
      </c>
      <c r="BW31" s="16">
        <f>'Data For Analysis'!BW31-'Data For Analysis'!BW30</f>
        <v>0</v>
      </c>
      <c r="BX31" s="16">
        <f>'Data For Analysis'!BX31-'Data For Analysis'!BX30</f>
        <v>2.1670000000000003</v>
      </c>
      <c r="BY31" s="16">
        <f>'Data For Analysis'!BY31-'Data For Analysis'!BY30</f>
        <v>2.2830000000000004</v>
      </c>
      <c r="BZ31" s="16">
        <f>'Data For Analysis'!BZ31-'Data For Analysis'!BZ30</f>
        <v>1.1840000000000002</v>
      </c>
      <c r="CA31" s="16">
        <f>'Data For Analysis'!CA31-'Data For Analysis'!CA30</f>
        <v>2.8</v>
      </c>
      <c r="CB31" s="16">
        <f>'Data For Analysis'!CB31-'Data For Analysis'!CB30</f>
        <v>1.75</v>
      </c>
      <c r="CC31" s="16">
        <f>'Data For Analysis'!CC31-'Data For Analysis'!CC30</f>
        <v>1.7829999999999995</v>
      </c>
      <c r="CD31" s="16">
        <f>'Data For Analysis'!CD31-'Data For Analysis'!CD30</f>
        <v>0.9830000000000001</v>
      </c>
      <c r="CE31" s="16">
        <f>'Data For Analysis'!CE31-'Data For Analysis'!CE30</f>
        <v>0.28299999999999992</v>
      </c>
      <c r="CF31" s="16">
        <f>'Data For Analysis'!CF31-'Data For Analysis'!CF30</f>
        <v>1.6660000000000004</v>
      </c>
      <c r="CG31" s="16">
        <f>'Data For Analysis'!CG31-'Data For Analysis'!CG30</f>
        <v>2.5999999999999996</v>
      </c>
      <c r="CH31" s="16">
        <f>'Data For Analysis'!CH31-'Data For Analysis'!CH30</f>
        <v>5.666999999999998</v>
      </c>
      <c r="CI31" s="16">
        <f>'Data For Analysis'!CI31-'Data For Analysis'!CI30</f>
        <v>0.75</v>
      </c>
      <c r="CJ31" s="16">
        <f>'Data For Analysis'!CJ31-'Data For Analysis'!CJ30</f>
        <v>1.8500000000000005</v>
      </c>
      <c r="CK31" s="16">
        <f>'Data For Analysis'!CK31-'Data For Analysis'!CK30</f>
        <v>1</v>
      </c>
      <c r="CL31" s="16">
        <f>'Data For Analysis'!CL31-'Data For Analysis'!CL30</f>
        <v>0.95699999999999985</v>
      </c>
      <c r="CM31" s="16">
        <f>'Data For Analysis'!CM31-'Data For Analysis'!CM30</f>
        <v>0.2159999999999993</v>
      </c>
      <c r="CN31" s="16"/>
      <c r="CO31" s="16"/>
      <c r="CP31" s="16"/>
      <c r="CQ31" s="16"/>
      <c r="CR31" s="16"/>
      <c r="CS31" s="16"/>
      <c r="CT31" s="16"/>
    </row>
    <row r="32" spans="1:98" x14ac:dyDescent="0.25">
      <c r="B32" s="1" t="str">
        <f>'Data For Analysis'!B32</f>
        <v>4.j.</v>
      </c>
      <c r="C32" s="6" t="str">
        <f>'Data For Analysis'!C32</f>
        <v>Travel (Internal)</v>
      </c>
      <c r="D32" s="16">
        <f>'Data For Analysis'!D32-'Data For Analysis'!D31</f>
        <v>0.2333333333333325</v>
      </c>
      <c r="E32" s="16">
        <f>'Data For Analysis'!E32-'Data For Analysis'!E31</f>
        <v>0.58300000000000018</v>
      </c>
      <c r="F32" s="16">
        <f>'Data For Analysis'!F32-'Data For Analysis'!F31</f>
        <v>0.19999999999999929</v>
      </c>
      <c r="G32" s="16">
        <f>'Data For Analysis'!G32-'Data For Analysis'!G31</f>
        <v>0.10000000000000053</v>
      </c>
      <c r="H32" s="16">
        <f>'Data For Analysis'!H32-'Data For Analysis'!H31</f>
        <v>0.33399999999999963</v>
      </c>
      <c r="I32" s="16">
        <f>'Data For Analysis'!I32-'Data For Analysis'!I31</f>
        <v>0.26666666666666661</v>
      </c>
      <c r="J32" s="16">
        <f>'Data For Analysis'!J32-'Data For Analysis'!J31</f>
        <v>3.3333333333334103E-2</v>
      </c>
      <c r="K32" s="16">
        <f>'Data For Analysis'!K32-'Data For Analysis'!K31</f>
        <v>0.59999999999999964</v>
      </c>
      <c r="L32" s="16">
        <f>'Data For Analysis'!L32-'Data For Analysis'!L31</f>
        <v>1.2800000000000002</v>
      </c>
      <c r="M32" s="16">
        <f>'Data For Analysis'!M32-'Data For Analysis'!M31</f>
        <v>0.16666666666666607</v>
      </c>
      <c r="N32" s="16">
        <f>'Data For Analysis'!N32-'Data For Analysis'!N31</f>
        <v>0.33299999999999996</v>
      </c>
      <c r="O32" s="16">
        <f>'Data For Analysis'!O32-'Data For Analysis'!O31</f>
        <v>0.19999999999999929</v>
      </c>
      <c r="P32" s="16">
        <f>'Data For Analysis'!P32-'Data For Analysis'!P31</f>
        <v>0.46600000000000019</v>
      </c>
      <c r="Q32" s="16">
        <f>'Data For Analysis'!Q32-'Data For Analysis'!Q31</f>
        <v>0.18299999999999983</v>
      </c>
      <c r="R32" s="16">
        <f>'Data For Analysis'!R32-'Data For Analysis'!R31</f>
        <v>0.16699999999999982</v>
      </c>
      <c r="S32" s="16">
        <f>'Data For Analysis'!S32-'Data For Analysis'!S31</f>
        <v>7.0500000000000007E-2</v>
      </c>
      <c r="T32" s="16">
        <f>'Data For Analysis'!T32-'Data For Analysis'!T31</f>
        <v>0.86599999999999966</v>
      </c>
      <c r="U32" s="16">
        <f>'Data For Analysis'!U32-'Data For Analysis'!U31</f>
        <v>0.28300000000000125</v>
      </c>
      <c r="V32" s="16">
        <f>'Data For Analysis'!V32-'Data For Analysis'!V31</f>
        <v>2.3670000000000009</v>
      </c>
      <c r="W32" s="16">
        <f>'Data For Analysis'!W32-'Data For Analysis'!W31</f>
        <v>8.3999999999999631E-2</v>
      </c>
      <c r="X32" s="16">
        <f>'Data For Analysis'!X32-'Data For Analysis'!X31</f>
        <v>0</v>
      </c>
      <c r="Y32" s="16">
        <f>'Data For Analysis'!Y32-'Data For Analysis'!Y31</f>
        <v>4.9999999999999822E-2</v>
      </c>
      <c r="Z32" s="16">
        <f>'Data For Analysis'!Z32-'Data For Analysis'!Z31</f>
        <v>0.25</v>
      </c>
      <c r="AA32" s="16">
        <f>'Data For Analysis'!AA32-'Data For Analysis'!AA31</f>
        <v>0</v>
      </c>
      <c r="AB32" s="16">
        <f>'Data For Analysis'!AB32-'Data For Analysis'!AB31</f>
        <v>0.88300000000000001</v>
      </c>
      <c r="AC32" s="16">
        <f>'Data For Analysis'!AC32-'Data For Analysis'!AC31</f>
        <v>0.10899999999999999</v>
      </c>
      <c r="AD32" s="16">
        <f>'Data For Analysis'!AD32-'Data For Analysis'!AD31</f>
        <v>0</v>
      </c>
      <c r="AE32" s="16">
        <f>'Data For Analysis'!AE32-'Data For Analysis'!AE31</f>
        <v>0</v>
      </c>
      <c r="AF32" s="16">
        <f>'Data For Analysis'!AF32-'Data For Analysis'!AF31</f>
        <v>0.26600000000000001</v>
      </c>
      <c r="AG32" s="16">
        <f>'Data For Analysis'!AG32-'Data For Analysis'!AG31</f>
        <v>0.2497000000000007</v>
      </c>
      <c r="AH32" s="16">
        <f>'Data For Analysis'!AH32-'Data For Analysis'!AH31</f>
        <v>0.5</v>
      </c>
      <c r="AI32" s="16">
        <f>'Data For Analysis'!AI32-'Data For Analysis'!AI31</f>
        <v>6.25</v>
      </c>
      <c r="AJ32" s="16">
        <f>'Data For Analysis'!AJ32-'Data For Analysis'!AJ31</f>
        <v>0.19999999999999929</v>
      </c>
      <c r="AK32" s="16">
        <f>'Data For Analysis'!AK32-'Data For Analysis'!AK31</f>
        <v>1.25</v>
      </c>
      <c r="AL32" s="16">
        <f>'Data For Analysis'!AL32-'Data For Analysis'!AL31</f>
        <v>1.8330000000000002</v>
      </c>
      <c r="AM32" s="16">
        <f>'Data For Analysis'!AM32-'Data For Analysis'!AM31</f>
        <v>0.40000000000000036</v>
      </c>
      <c r="AN32" s="16">
        <f>'Data For Analysis'!AN32-'Data For Analysis'!AN31</f>
        <v>2.8000000000000469E-2</v>
      </c>
      <c r="AO32" s="16">
        <f>'Data For Analysis'!AO32-'Data For Analysis'!AO31</f>
        <v>0.8666999999999998</v>
      </c>
      <c r="AP32" s="16">
        <f>'Data For Analysis'!AP32-'Data For Analysis'!AP31</f>
        <v>9.9999999999999645E-2</v>
      </c>
      <c r="AQ32" s="16">
        <f>'Data For Analysis'!AQ32-'Data For Analysis'!AQ31</f>
        <v>0.63300000000000001</v>
      </c>
      <c r="AR32" s="16">
        <f>'Data For Analysis'!AR32-'Data For Analysis'!AR31</f>
        <v>0.18299999999999983</v>
      </c>
      <c r="AS32" s="16">
        <f>'Data For Analysis'!AS32-'Data For Analysis'!AS31</f>
        <v>1.9740000000000002</v>
      </c>
      <c r="AT32" s="16">
        <f>'Data For Analysis'!AT32-'Data For Analysis'!AT31</f>
        <v>0.20000000000000018</v>
      </c>
      <c r="AU32" s="16">
        <f>'Data For Analysis'!AU32-'Data For Analysis'!AU31</f>
        <v>0.11699999999999999</v>
      </c>
      <c r="AV32" s="16">
        <f>'Data For Analysis'!AV32-'Data For Analysis'!AV31</f>
        <v>6.3500000000000014</v>
      </c>
      <c r="AW32" s="16">
        <f>'Data For Analysis'!AW32-'Data For Analysis'!AW31</f>
        <v>1.6000000000000014E-2</v>
      </c>
      <c r="AX32" s="16">
        <f>'Data For Analysis'!AX32-'Data For Analysis'!AX31</f>
        <v>3.5839999999999996</v>
      </c>
      <c r="AY32" s="16">
        <f>'Data For Analysis'!AY32-'Data For Analysis'!AY31</f>
        <v>0.5</v>
      </c>
      <c r="AZ32" s="16">
        <f>'Data For Analysis'!AZ32-'Data For Analysis'!AZ31</f>
        <v>8.4000000000000519E-2</v>
      </c>
      <c r="BA32" s="16">
        <f>'Data For Analysis'!BA32-'Data For Analysis'!BA31</f>
        <v>0.33400000000000052</v>
      </c>
      <c r="BB32" s="16">
        <f>'Data For Analysis'!BB32-'Data For Analysis'!BB31</f>
        <v>8.3000000000000185E-2</v>
      </c>
      <c r="BC32" s="16">
        <f>'Data For Analysis'!BC32-'Data For Analysis'!BC31</f>
        <v>0.16699999999999982</v>
      </c>
      <c r="BD32" s="16">
        <f>'Data For Analysis'!BD32-'Data For Analysis'!BD31</f>
        <v>5.0000000000000711E-2</v>
      </c>
      <c r="BE32" s="16">
        <f>'Data For Analysis'!BE32-'Data For Analysis'!BE31</f>
        <v>2.7497000000000007</v>
      </c>
      <c r="BF32" s="16">
        <f>'Data For Analysis'!BF32-'Data For Analysis'!BF31</f>
        <v>0.51700000000000035</v>
      </c>
      <c r="BG32" s="16">
        <f>'Data For Analysis'!BG32-'Data For Analysis'!BG31</f>
        <v>1.8950000000000005</v>
      </c>
      <c r="BH32" s="16">
        <f>'Data For Analysis'!BH32-'Data For Analysis'!BH31</f>
        <v>0.23329999999999984</v>
      </c>
      <c r="BI32" s="16">
        <f>'Data For Analysis'!BI32-'Data For Analysis'!BI31</f>
        <v>0.48399999999999999</v>
      </c>
      <c r="BJ32" s="16">
        <f>'Data For Analysis'!BJ32-'Data For Analysis'!BJ31</f>
        <v>0.15000000000000036</v>
      </c>
      <c r="BK32" s="16">
        <f>'Data For Analysis'!BK32-'Data For Analysis'!BK31</f>
        <v>0.11699999999999999</v>
      </c>
      <c r="BL32" s="16">
        <f>'Data For Analysis'!BL32-'Data For Analysis'!BL31</f>
        <v>1.1000000000000121E-2</v>
      </c>
      <c r="BM32" s="16">
        <f>'Data For Analysis'!BM32-'Data For Analysis'!BM31</f>
        <v>0</v>
      </c>
      <c r="BN32" s="16">
        <f>'Data For Analysis'!BN32-'Data For Analysis'!BN31</f>
        <v>0.5</v>
      </c>
      <c r="BO32" s="16">
        <f>'Data For Analysis'!BO32-'Data For Analysis'!BO31</f>
        <v>0.43299999999999983</v>
      </c>
      <c r="BP32" s="16">
        <f>'Data For Analysis'!BP32-'Data For Analysis'!BP31</f>
        <v>0.80000000000000071</v>
      </c>
      <c r="BQ32" s="16">
        <f>'Data For Analysis'!BQ32-'Data For Analysis'!BQ31</f>
        <v>0.18399999999999928</v>
      </c>
      <c r="BR32" s="16">
        <f>'Data For Analysis'!BR32-'Data For Analysis'!BR31</f>
        <v>6.7000000000000171E-2</v>
      </c>
      <c r="BS32" s="16">
        <f>'Data For Analysis'!BS32-'Data For Analysis'!BS31</f>
        <v>2.9999999999974492E-4</v>
      </c>
      <c r="BT32" s="16">
        <f>'Data For Analysis'!BT32-'Data For Analysis'!BT31</f>
        <v>4.9999999999999822E-2</v>
      </c>
      <c r="BU32" s="16">
        <f>'Data For Analysis'!BU32-'Data For Analysis'!BU31</f>
        <v>1.3500000000000005</v>
      </c>
      <c r="BV32" s="16">
        <f>'Data For Analysis'!BV32-'Data For Analysis'!BV31</f>
        <v>0.1169999999999991</v>
      </c>
      <c r="BW32" s="16">
        <f>'Data For Analysis'!BW32-'Data For Analysis'!BW31</f>
        <v>0.05</v>
      </c>
      <c r="BX32" s="16">
        <f>'Data For Analysis'!BX32-'Data For Analysis'!BX31</f>
        <v>0.2336999999999998</v>
      </c>
      <c r="BY32" s="16">
        <f>'Data For Analysis'!BY32-'Data For Analysis'!BY31</f>
        <v>3.2999999999999474E-2</v>
      </c>
      <c r="BZ32" s="16">
        <f>'Data For Analysis'!BZ32-'Data For Analysis'!BZ31</f>
        <v>0.83300000000000018</v>
      </c>
      <c r="CA32" s="16">
        <f>'Data For Analysis'!CA32-'Data For Analysis'!CA31</f>
        <v>0.95000000000000018</v>
      </c>
      <c r="CB32" s="16">
        <f>'Data For Analysis'!CB32-'Data For Analysis'!CB31</f>
        <v>0</v>
      </c>
      <c r="CC32" s="16">
        <f>'Data For Analysis'!CC32-'Data For Analysis'!CC31</f>
        <v>4.9999999999999822E-2</v>
      </c>
      <c r="CD32" s="16">
        <f>'Data For Analysis'!CD32-'Data For Analysis'!CD31</f>
        <v>0.64999999999999991</v>
      </c>
      <c r="CE32" s="16">
        <f>'Data For Analysis'!CE32-'Data For Analysis'!CE31</f>
        <v>0.30000000000000027</v>
      </c>
      <c r="CF32" s="16">
        <f>'Data For Analysis'!CF32-'Data For Analysis'!CF31</f>
        <v>5.0000000000000711E-2</v>
      </c>
      <c r="CG32" s="16">
        <f>'Data For Analysis'!CG32-'Data For Analysis'!CG31</f>
        <v>0.68299999999999983</v>
      </c>
      <c r="CH32" s="16">
        <f>'Data For Analysis'!CH32-'Data For Analysis'!CH31</f>
        <v>5.9670000000000023</v>
      </c>
      <c r="CI32" s="16">
        <f>'Data For Analysis'!CI32-'Data For Analysis'!CI31</f>
        <v>0.75</v>
      </c>
      <c r="CJ32" s="16">
        <f>'Data For Analysis'!CJ32-'Data For Analysis'!CJ31</f>
        <v>9.9999999999999645E-2</v>
      </c>
      <c r="CK32" s="16">
        <f>'Data For Analysis'!CK32-'Data For Analysis'!CK31</f>
        <v>0</v>
      </c>
      <c r="CL32" s="16">
        <f>'Data For Analysis'!CL32-'Data For Analysis'!CL31</f>
        <v>0.10800000000000054</v>
      </c>
      <c r="CM32" s="16">
        <f>'Data For Analysis'!CM32-'Data For Analysis'!CM31</f>
        <v>0.16700000000000159</v>
      </c>
      <c r="CN32" s="16"/>
      <c r="CO32" s="16"/>
      <c r="CP32" s="16"/>
      <c r="CQ32" s="16"/>
      <c r="CR32" s="16"/>
      <c r="CS32" s="16"/>
      <c r="CT32" s="16"/>
    </row>
    <row r="33" spans="2:98" x14ac:dyDescent="0.25">
      <c r="B33" s="1" t="str">
        <f>'Data For Analysis'!B33</f>
        <v>4.k.</v>
      </c>
      <c r="C33" s="6" t="str">
        <f>'Data For Analysis'!C33</f>
        <v>Indirect</v>
      </c>
      <c r="D33" s="16">
        <f>'Data For Analysis'!D33-'Data For Analysis'!D32</f>
        <v>7.0500000000000007</v>
      </c>
      <c r="E33" s="16">
        <f>'Data For Analysis'!E33-'Data For Analysis'!E32</f>
        <v>4.6500000000000004</v>
      </c>
      <c r="F33" s="16">
        <f>'Data For Analysis'!F33-'Data For Analysis'!F32</f>
        <v>7.0666666666666682</v>
      </c>
      <c r="G33" s="16">
        <f>'Data For Analysis'!G33-'Data For Analysis'!G32</f>
        <v>11.249999999999998</v>
      </c>
      <c r="H33" s="16">
        <f>'Data For Analysis'!H33-'Data For Analysis'!H32</f>
        <v>6.3330000000000002</v>
      </c>
      <c r="I33" s="16">
        <f>'Data For Analysis'!I33-'Data For Analysis'!I32</f>
        <v>11.216666666666665</v>
      </c>
      <c r="J33" s="16">
        <f>'Data For Analysis'!J33-'Data For Analysis'!J32</f>
        <v>6.1833333333333327</v>
      </c>
      <c r="K33" s="16">
        <f>'Data For Analysis'!K33-'Data For Analysis'!K32</f>
        <v>10.367000000000001</v>
      </c>
      <c r="L33" s="16">
        <f>'Data For Analysis'!L33-'Data For Analysis'!L32</f>
        <v>7.5769999999999982</v>
      </c>
      <c r="M33" s="16">
        <f>'Data For Analysis'!M33-'Data For Analysis'!M32</f>
        <v>17.666666666666668</v>
      </c>
      <c r="N33" s="16">
        <f>'Data For Analysis'!N33-'Data For Analysis'!N32</f>
        <v>6.2329999999999997</v>
      </c>
      <c r="O33" s="16">
        <f>'Data For Analysis'!O33-'Data For Analysis'!O32</f>
        <v>12.165999999999999</v>
      </c>
      <c r="P33" s="16">
        <f>'Data For Analysis'!P33-'Data For Analysis'!P32</f>
        <v>4.5169999999999995</v>
      </c>
      <c r="Q33" s="16">
        <f>'Data For Analysis'!Q33-'Data For Analysis'!Q32</f>
        <v>4.5670000000000002</v>
      </c>
      <c r="R33" s="16">
        <f>'Data For Analysis'!R33-'Data For Analysis'!R32</f>
        <v>6.1663000000000014</v>
      </c>
      <c r="S33" s="16">
        <f>'Data For Analysis'!S33-'Data For Analysis'!S32</f>
        <v>4.7749999999999995</v>
      </c>
      <c r="T33" s="16">
        <f>'Data For Analysis'!T33-'Data For Analysis'!T32</f>
        <v>12.184000000000001</v>
      </c>
      <c r="U33" s="16">
        <f>'Data For Analysis'!U33-'Data For Analysis'!U32</f>
        <v>8.0339999999999989</v>
      </c>
      <c r="V33" s="16">
        <f>'Data For Analysis'!V33-'Data For Analysis'!V32</f>
        <v>8.8829999999999991</v>
      </c>
      <c r="W33" s="16">
        <f>'Data For Analysis'!W33-'Data For Analysis'!W32</f>
        <v>7.0500000000000007</v>
      </c>
      <c r="X33" s="16">
        <f>'Data For Analysis'!X33-'Data For Analysis'!X32</f>
        <v>9.8670000000000009</v>
      </c>
      <c r="Y33" s="16">
        <f>'Data For Analysis'!Y33-'Data For Analysis'!Y32</f>
        <v>8.5500000000000007</v>
      </c>
      <c r="Z33" s="16">
        <f>'Data For Analysis'!Z33-'Data For Analysis'!Z32</f>
        <v>7.5</v>
      </c>
      <c r="AA33" s="16">
        <f>'Data For Analysis'!AA33-'Data For Analysis'!AA32</f>
        <v>16.566300000000002</v>
      </c>
      <c r="AB33" s="16">
        <f>'Data For Analysis'!AB33-'Data For Analysis'!AB32</f>
        <v>5.234</v>
      </c>
      <c r="AC33" s="16">
        <f>'Data For Analysis'!AC33-'Data For Analysis'!AC32</f>
        <v>2.9429999999999996</v>
      </c>
      <c r="AD33" s="16">
        <f>'Data For Analysis'!AD33-'Data For Analysis'!AD32</f>
        <v>6.3950000000000005</v>
      </c>
      <c r="AE33" s="16">
        <f>'Data For Analysis'!AE33-'Data For Analysis'!AE32</f>
        <v>8.583000000000002</v>
      </c>
      <c r="AF33" s="16">
        <f>'Data For Analysis'!AF33-'Data For Analysis'!AF32</f>
        <v>6.5</v>
      </c>
      <c r="AG33" s="16">
        <f>'Data For Analysis'!AG33-'Data For Analysis'!AG32</f>
        <v>14.5</v>
      </c>
      <c r="AH33" s="16">
        <f>'Data For Analysis'!AH33-'Data For Analysis'!AH32</f>
        <v>6.4503000000000021</v>
      </c>
      <c r="AI33" s="16">
        <f>'Data For Analysis'!AI33-'Data For Analysis'!AI32</f>
        <v>3.0000000000000018</v>
      </c>
      <c r="AJ33" s="16">
        <f>'Data For Analysis'!AJ33-'Data For Analysis'!AJ32</f>
        <v>8.4499999999999993</v>
      </c>
      <c r="AK33" s="16">
        <f>'Data For Analysis'!AK33-'Data For Analysis'!AK32</f>
        <v>7.8329999999999984</v>
      </c>
      <c r="AL33" s="16">
        <f>'Data For Analysis'!AL33-'Data For Analysis'!AL32</f>
        <v>10.082999999999998</v>
      </c>
      <c r="AM33" s="16">
        <f>'Data For Analysis'!AM33-'Data For Analysis'!AM32</f>
        <v>5.45</v>
      </c>
      <c r="AN33" s="16">
        <f>'Data For Analysis'!AN33-'Data For Analysis'!AN32</f>
        <v>7.75</v>
      </c>
      <c r="AO33" s="16">
        <f>'Data For Analysis'!AO33-'Data For Analysis'!AO32</f>
        <v>9.2332999999999998</v>
      </c>
      <c r="AP33" s="16">
        <f>'Data For Analysis'!AP33-'Data For Analysis'!AP32</f>
        <v>10.934000000000001</v>
      </c>
      <c r="AQ33" s="16">
        <f>'Data For Analysis'!AQ33-'Data For Analysis'!AQ32</f>
        <v>12.534000000000002</v>
      </c>
      <c r="AR33" s="16">
        <f>'Data For Analysis'!AR33-'Data For Analysis'!AR32</f>
        <v>2.6670000000000007</v>
      </c>
      <c r="AS33" s="16">
        <f>'Data For Analysis'!AS33-'Data For Analysis'!AS32</f>
        <v>8.9619999999999997</v>
      </c>
      <c r="AT33" s="16">
        <f>'Data For Analysis'!AT33-'Data For Analysis'!AT32</f>
        <v>6.3829999999999991</v>
      </c>
      <c r="AU33" s="16">
        <f>'Data For Analysis'!AU33-'Data For Analysis'!AU32</f>
        <v>8.6669999999999998</v>
      </c>
      <c r="AV33" s="16">
        <f>'Data For Analysis'!AV33-'Data For Analysis'!AV32</f>
        <v>0</v>
      </c>
      <c r="AW33" s="16">
        <f>'Data For Analysis'!AW33-'Data For Analysis'!AW32</f>
        <v>13.584</v>
      </c>
      <c r="AX33" s="16">
        <f>'Data For Analysis'!AX33-'Data For Analysis'!AX32</f>
        <v>5.0000000000000018</v>
      </c>
      <c r="AY33" s="16">
        <f>'Data For Analysis'!AY33-'Data For Analysis'!AY32</f>
        <v>3</v>
      </c>
      <c r="AZ33" s="16">
        <f>'Data For Analysis'!AZ33-'Data For Analysis'!AZ32</f>
        <v>7.4660000000000002</v>
      </c>
      <c r="BA33" s="16">
        <f>'Data For Analysis'!BA33-'Data For Analysis'!BA32</f>
        <v>7.7997000000000005</v>
      </c>
      <c r="BB33" s="16">
        <f>'Data For Analysis'!BB33-'Data For Analysis'!BB32</f>
        <v>1.9169999999999998</v>
      </c>
      <c r="BC33" s="16">
        <f>'Data For Analysis'!BC33-'Data For Analysis'!BC32</f>
        <v>8.7997000000000014</v>
      </c>
      <c r="BD33" s="16">
        <f>'Data For Analysis'!BD33-'Data For Analysis'!BD32</f>
        <v>9.366699999999998</v>
      </c>
      <c r="BE33" s="16">
        <f>'Data For Analysis'!BE33-'Data For Analysis'!BE32</f>
        <v>9.4500000000000011</v>
      </c>
      <c r="BF33" s="16">
        <f>'Data For Analysis'!BF33-'Data For Analysis'!BF32</f>
        <v>5.4999999999999991</v>
      </c>
      <c r="BG33" s="16">
        <f>'Data For Analysis'!BG33-'Data For Analysis'!BG32</f>
        <v>5.1549999999999994</v>
      </c>
      <c r="BH33" s="16">
        <f>'Data For Analysis'!BH33-'Data For Analysis'!BH32</f>
        <v>6.867</v>
      </c>
      <c r="BI33" s="16">
        <f>'Data For Analysis'!BI33-'Data For Analysis'!BI32</f>
        <v>2.4170000000000007</v>
      </c>
      <c r="BJ33" s="16">
        <f>'Data For Analysis'!BJ33-'Data For Analysis'!BJ32</f>
        <v>11.700000000000001</v>
      </c>
      <c r="BK33" s="16">
        <f>'Data For Analysis'!BK33-'Data For Analysis'!BK32</f>
        <v>7.1499999999999995</v>
      </c>
      <c r="BL33" s="16">
        <f>'Data For Analysis'!BL33-'Data For Analysis'!BL32</f>
        <v>12.45</v>
      </c>
      <c r="BM33" s="16">
        <f>'Data For Analysis'!BM33-'Data For Analysis'!BM32</f>
        <v>3.2669999999999999</v>
      </c>
      <c r="BN33" s="16">
        <f>'Data For Analysis'!BN33-'Data For Analysis'!BN32</f>
        <v>20</v>
      </c>
      <c r="BO33" s="16">
        <f>'Data For Analysis'!BO33-'Data For Analysis'!BO32</f>
        <v>15.867000000000001</v>
      </c>
      <c r="BP33" s="16">
        <f>'Data For Analysis'!BP33-'Data For Analysis'!BP32</f>
        <v>4.6670000000000016</v>
      </c>
      <c r="BQ33" s="16">
        <f>'Data For Analysis'!BQ33-'Data For Analysis'!BQ32</f>
        <v>6.1160000000000005</v>
      </c>
      <c r="BR33" s="16">
        <f>'Data For Analysis'!BR33-'Data For Analysis'!BR32</f>
        <v>6.3829999999999991</v>
      </c>
      <c r="BS33" s="16">
        <f>'Data For Analysis'!BS33-'Data For Analysis'!BS32</f>
        <v>0</v>
      </c>
      <c r="BT33" s="16">
        <f>'Data For Analysis'!BT33-'Data For Analysis'!BT32</f>
        <v>6.2000000000000011</v>
      </c>
      <c r="BU33" s="16">
        <f>'Data For Analysis'!BU33-'Data For Analysis'!BU32</f>
        <v>7.3329999999999993</v>
      </c>
      <c r="BV33" s="16">
        <f>'Data For Analysis'!BV33-'Data For Analysis'!BV32</f>
        <v>5.4500000000000011</v>
      </c>
      <c r="BW33" s="16">
        <f>'Data For Analysis'!BW33-'Data For Analysis'!BW32</f>
        <v>9.85</v>
      </c>
      <c r="BX33" s="16">
        <f>'Data For Analysis'!BX33-'Data For Analysis'!BX32</f>
        <v>6.3003</v>
      </c>
      <c r="BY33" s="16">
        <f>'Data For Analysis'!BY33-'Data For Analysis'!BY32</f>
        <v>7.8340000000000005</v>
      </c>
      <c r="BZ33" s="16">
        <f>'Data For Analysis'!BZ33-'Data For Analysis'!BZ32</f>
        <v>7.5330000000000004</v>
      </c>
      <c r="CA33" s="16">
        <f>'Data For Analysis'!CA33-'Data For Analysis'!CA32</f>
        <v>6.0159999999999991</v>
      </c>
      <c r="CB33" s="16">
        <f>'Data For Analysis'!CB33-'Data For Analysis'!CB32</f>
        <v>10.850000000000001</v>
      </c>
      <c r="CC33" s="16">
        <f>'Data For Analysis'!CC33-'Data For Analysis'!CC32</f>
        <v>10.466999999999999</v>
      </c>
      <c r="CD33" s="16">
        <f>'Data For Analysis'!CD33-'Data For Analysis'!CD32</f>
        <v>4.1669999999999998</v>
      </c>
      <c r="CE33" s="16">
        <f>'Data For Analysis'!CE33-'Data For Analysis'!CE32</f>
        <v>1.25</v>
      </c>
      <c r="CF33" s="16">
        <f>'Data For Analysis'!CF33-'Data For Analysis'!CF32</f>
        <v>5.0503</v>
      </c>
      <c r="CG33" s="16">
        <f>'Data For Analysis'!CG33-'Data For Analysis'!CG32</f>
        <v>9.4169999999999998</v>
      </c>
      <c r="CH33" s="16">
        <f>'Data For Analysis'!CH33-'Data For Analysis'!CH32</f>
        <v>14.049999999999997</v>
      </c>
      <c r="CI33" s="16">
        <f>'Data For Analysis'!CI33-'Data For Analysis'!CI32</f>
        <v>10</v>
      </c>
      <c r="CJ33" s="16">
        <f>'Data For Analysis'!CJ33-'Data For Analysis'!CJ32</f>
        <v>9.3670000000000009</v>
      </c>
      <c r="CK33" s="16">
        <f>'Data For Analysis'!CK33-'Data For Analysis'!CK32</f>
        <v>14.333</v>
      </c>
      <c r="CL33" s="16">
        <f>'Data For Analysis'!CL33-'Data For Analysis'!CL32</f>
        <v>7.9679999999999991</v>
      </c>
      <c r="CM33" s="16">
        <f>'Data For Analysis'!CM33-'Data For Analysis'!CM32</f>
        <v>8.6829999999999998</v>
      </c>
      <c r="CN33" s="16"/>
      <c r="CO33" s="16"/>
      <c r="CP33" s="16"/>
      <c r="CQ33" s="16"/>
      <c r="CR33" s="16"/>
      <c r="CS33" s="16"/>
      <c r="CT33" s="16"/>
    </row>
    <row r="34" spans="2:98" x14ac:dyDescent="0.25">
      <c r="B34" s="1" t="str">
        <f>'Data For Analysis'!B34</f>
        <v>4.l.1</v>
      </c>
      <c r="C34" s="6" t="str">
        <f>'Data For Analysis'!C34</f>
        <v>Travel (Internal)</v>
      </c>
      <c r="D34" s="16">
        <f>IF('Data For Analysis'!D34="N/A",0,'Data For Analysis'!D34-'Data For Analysis'!D33)</f>
        <v>9.9999999999997868E-2</v>
      </c>
      <c r="E34" s="16">
        <f>IF('Data For Analysis'!E34="N/A",0,'Data For Analysis'!E34-'Data For Analysis'!E33)</f>
        <v>1.4669999999999987</v>
      </c>
      <c r="F34" s="16">
        <f>IF('Data For Analysis'!F34="N/A",0,'Data For Analysis'!F34-'Data For Analysis'!F33)</f>
        <v>1.7666666666666657</v>
      </c>
      <c r="G34" s="16">
        <f>IF('Data For Analysis'!G34="N/A",0,'Data For Analysis'!G34-'Data For Analysis'!G33)</f>
        <v>0.28400000000000247</v>
      </c>
      <c r="H34" s="16">
        <f>IF('Data For Analysis'!H34="N/A",0,'Data For Analysis'!H34-'Data For Analysis'!H33)</f>
        <v>3.0170000000000012</v>
      </c>
      <c r="I34" s="16">
        <f>IF('Data For Analysis'!I34="N/A",0,'Data For Analysis'!I34-'Data For Analysis'!I33)</f>
        <v>1.1166666666666671</v>
      </c>
      <c r="J34" s="16">
        <f>IF('Data For Analysis'!J34="N/A",0,'Data For Analysis'!J34-'Data For Analysis'!J33)</f>
        <v>0.30000000000000071</v>
      </c>
      <c r="K34" s="16">
        <f>IF('Data For Analysis'!K34="N/A",0,'Data For Analysis'!K34-'Data For Analysis'!K33)</f>
        <v>0</v>
      </c>
      <c r="L34" s="16">
        <f>IF('Data For Analysis'!L34="N/A",0,'Data For Analysis'!L34-'Data For Analysis'!L33)</f>
        <v>0</v>
      </c>
      <c r="M34" s="16">
        <f>IF('Data For Analysis'!M34="N/A",0,'Data For Analysis'!M34-'Data For Analysis'!M33)</f>
        <v>0</v>
      </c>
      <c r="N34" s="16">
        <f>IF('Data For Analysis'!N34="N/A",0,'Data For Analysis'!N34-'Data For Analysis'!N33)</f>
        <v>0</v>
      </c>
      <c r="O34" s="16">
        <f>IF('Data For Analysis'!O34="N/A",0,'Data For Analysis'!O34-'Data For Analysis'!O33)</f>
        <v>1.8840000000000003</v>
      </c>
      <c r="P34" s="16">
        <f>IF('Data For Analysis'!P34="N/A",0,'Data For Analysis'!P34-'Data For Analysis'!P33)</f>
        <v>0.16699999999999982</v>
      </c>
      <c r="Q34" s="16">
        <f>IF('Data For Analysis'!Q34="N/A",0,'Data For Analysis'!Q34-'Data For Analysis'!Q33)</f>
        <v>0</v>
      </c>
      <c r="R34" s="16">
        <f>IF('Data For Analysis'!R34="N/A",0,'Data For Analysis'!R34-'Data For Analysis'!R33)</f>
        <v>0</v>
      </c>
      <c r="S34" s="16">
        <f>IF('Data For Analysis'!S34="N/A",0,'Data For Analysis'!S34-'Data For Analysis'!S33)</f>
        <v>2.0990000000000002</v>
      </c>
      <c r="T34" s="16">
        <f>IF('Data For Analysis'!T34="N/A",0,'Data For Analysis'!T34-'Data For Analysis'!T33)</f>
        <v>0</v>
      </c>
      <c r="U34" s="16">
        <f>IF('Data For Analysis'!U34="N/A",0,'Data For Analysis'!U34-'Data For Analysis'!U33)</f>
        <v>0.65000000000000213</v>
      </c>
      <c r="V34" s="16">
        <f>IF('Data For Analysis'!V34="N/A",0,'Data For Analysis'!V34-'Data For Analysis'!V33)</f>
        <v>30.767000000000003</v>
      </c>
      <c r="W34" s="16">
        <f>IF('Data For Analysis'!W34="N/A",0,'Data For Analysis'!W34-'Data For Analysis'!W33)</f>
        <v>2</v>
      </c>
      <c r="X34" s="16">
        <f>IF('Data For Analysis'!X34="N/A",0,'Data For Analysis'!X34-'Data For Analysis'!X33)</f>
        <v>0</v>
      </c>
      <c r="Y34" s="16">
        <f>IF('Data For Analysis'!Y34="N/A",0,'Data For Analysis'!Y34-'Data For Analysis'!Y33)</f>
        <v>4.9999999999998934E-2</v>
      </c>
      <c r="Z34" s="16">
        <f>IF('Data For Analysis'!Z34="N/A",0,'Data For Analysis'!Z34-'Data For Analysis'!Z33)</f>
        <v>0.25</v>
      </c>
      <c r="AA34" s="16">
        <f>IF('Data For Analysis'!AA34="N/A",0,'Data For Analysis'!AA34-'Data For Analysis'!AA33)</f>
        <v>0.1836999999999982</v>
      </c>
      <c r="AB34" s="16">
        <f>IF('Data For Analysis'!AB34="N/A",0,'Data For Analysis'!AB34-'Data For Analysis'!AB33)</f>
        <v>1.0659999999999989</v>
      </c>
      <c r="AC34" s="16">
        <f>IF('Data For Analysis'!AC34="N/A",0,'Data For Analysis'!AC34-'Data For Analysis'!AC33)</f>
        <v>0.6036999999999999</v>
      </c>
      <c r="AD34" s="16">
        <f>IF('Data For Analysis'!AD34="N/A",0,'Data For Analysis'!AD34-'Data For Analysis'!AD33)</f>
        <v>0.48199999999999932</v>
      </c>
      <c r="AE34" s="16">
        <f>IF('Data For Analysis'!AE34="N/A",0,'Data For Analysis'!AE34-'Data For Analysis'!AE33)</f>
        <v>2.2719999999999985</v>
      </c>
      <c r="AF34" s="16">
        <f>IF('Data For Analysis'!AF34="N/A",0,'Data For Analysis'!AF34-'Data For Analysis'!AF33)</f>
        <v>4.3340000000000014</v>
      </c>
      <c r="AG34" s="16">
        <f>IF('Data For Analysis'!AG34="N/A",0,'Data For Analysis'!AG34-'Data For Analysis'!AG33)</f>
        <v>0.59999999999999787</v>
      </c>
      <c r="AH34" s="16">
        <f>IF('Data For Analysis'!AH34="N/A",0,'Data For Analysis'!AH34-'Data For Analysis'!AH33)</f>
        <v>0.39969999999999928</v>
      </c>
      <c r="AI34" s="16">
        <f>IF('Data For Analysis'!AI34="N/A",0,'Data For Analysis'!AI34-'Data For Analysis'!AI33)</f>
        <v>1</v>
      </c>
      <c r="AJ34" s="16">
        <f>IF('Data For Analysis'!AJ34="N/A",0,'Data For Analysis'!AJ34-'Data For Analysis'!AJ33)</f>
        <v>1.383700000000001</v>
      </c>
      <c r="AK34" s="16">
        <f>IF('Data For Analysis'!AK34="N/A",0,'Data For Analysis'!AK34-'Data For Analysis'!AK33)</f>
        <v>1.5</v>
      </c>
      <c r="AL34" s="16">
        <f>IF('Data For Analysis'!AL34="N/A",0,'Data For Analysis'!AL34-'Data For Analysis'!AL33)</f>
        <v>1.2669999999999995</v>
      </c>
      <c r="AM34" s="16">
        <f>IF('Data For Analysis'!AM34="N/A",0,'Data For Analysis'!AM34-'Data For Analysis'!AM33)</f>
        <v>1.0999999999999996</v>
      </c>
      <c r="AN34" s="16">
        <f>IF('Data For Analysis'!AN34="N/A",0,'Data For Analysis'!AN34-'Data For Analysis'!AN33)</f>
        <v>0.25</v>
      </c>
      <c r="AO34" s="16">
        <f>IF('Data For Analysis'!AO34="N/A",0,'Data For Analysis'!AO34-'Data For Analysis'!AO33)</f>
        <v>2.5</v>
      </c>
      <c r="AP34" s="16">
        <f>IF('Data For Analysis'!AP34="N/A",0,'Data For Analysis'!AP34-'Data For Analysis'!AP33)</f>
        <v>1.1999999999999993</v>
      </c>
      <c r="AQ34" s="16">
        <f>IF('Data For Analysis'!AQ34="N/A",0,'Data For Analysis'!AQ34-'Data For Analysis'!AQ33)</f>
        <v>3.5</v>
      </c>
      <c r="AR34" s="16">
        <f>IF('Data For Analysis'!AR34="N/A",0,'Data For Analysis'!AR34-'Data For Analysis'!AR33)</f>
        <v>0.5</v>
      </c>
      <c r="AS34" s="16">
        <f>IF('Data For Analysis'!AS34="N/A",0,'Data For Analysis'!AS34-'Data For Analysis'!AS33)</f>
        <v>1.0850000000000009</v>
      </c>
      <c r="AT34" s="16">
        <f>IF('Data For Analysis'!AT34="N/A",0,'Data For Analysis'!AT34-'Data For Analysis'!AT33)</f>
        <v>0.13400000000000034</v>
      </c>
      <c r="AU34" s="16">
        <f>IF('Data For Analysis'!AU34="N/A",0,'Data For Analysis'!AU34-'Data For Analysis'!AU33)</f>
        <v>2.9000000000000004</v>
      </c>
      <c r="AV34" s="16">
        <f>IF('Data For Analysis'!AV34="N/A",0,'Data For Analysis'!AV34-'Data For Analysis'!AV33)</f>
        <v>7.0300000000000011</v>
      </c>
      <c r="AW34" s="16">
        <f>IF('Data For Analysis'!AW34="N/A",0,'Data For Analysis'!AW34-'Data For Analysis'!AW33)</f>
        <v>0.21600000000000108</v>
      </c>
      <c r="AX34" s="16">
        <f>IF('Data For Analysis'!AX34="N/A",0,'Data For Analysis'!AX34-'Data For Analysis'!AX33)</f>
        <v>0</v>
      </c>
      <c r="AY34" s="16">
        <f>IF('Data For Analysis'!AY34="N/A",0,'Data For Analysis'!AY34-'Data For Analysis'!AY33)</f>
        <v>3</v>
      </c>
      <c r="AZ34" s="16">
        <f>IF('Data For Analysis'!AZ34="N/A",0,'Data For Analysis'!AZ34-'Data For Analysis'!AZ33)</f>
        <v>1.8502999999999989</v>
      </c>
      <c r="BA34" s="16">
        <f>IF('Data For Analysis'!BA34="N/A",0,'Data For Analysis'!BA34-'Data For Analysis'!BA33)</f>
        <v>6.6299999999998249E-2</v>
      </c>
      <c r="BB34" s="16">
        <f>IF('Data For Analysis'!BB34="N/A",0,'Data For Analysis'!BB34-'Data For Analysis'!BB33)</f>
        <v>0.25</v>
      </c>
      <c r="BC34" s="16">
        <f>IF('Data For Analysis'!BC34="N/A",0,'Data For Analysis'!BC34-'Data For Analysis'!BC33)</f>
        <v>6.6599999999999326E-2</v>
      </c>
      <c r="BD34" s="16">
        <f>IF('Data For Analysis'!BD34="N/A",0,'Data For Analysis'!BD34-'Data For Analysis'!BD33)</f>
        <v>6.7000000000000171E-2</v>
      </c>
      <c r="BE34" s="16">
        <f>IF('Data For Analysis'!BE34="N/A",0,'Data For Analysis'!BE34-'Data For Analysis'!BE33)</f>
        <v>0.88400000000000034</v>
      </c>
      <c r="BF34" s="16">
        <f>IF('Data For Analysis'!BF34="N/A",0,'Data For Analysis'!BF34-'Data For Analysis'!BF33)</f>
        <v>5.3500000000000014</v>
      </c>
      <c r="BG34" s="16">
        <f>IF('Data For Analysis'!BG34="N/A",0,'Data For Analysis'!BG34-'Data For Analysis'!BG33)</f>
        <v>0.5</v>
      </c>
      <c r="BH34" s="16">
        <f>IF('Data For Analysis'!BH34="N/A",0,'Data For Analysis'!BH34-'Data For Analysis'!BH33)</f>
        <v>0.25</v>
      </c>
      <c r="BI34" s="16">
        <f>IF('Data For Analysis'!BI34="N/A",0,'Data For Analysis'!BI34-'Data For Analysis'!BI33)</f>
        <v>0.72599999999999909</v>
      </c>
      <c r="BJ34" s="16">
        <f>IF('Data For Analysis'!BJ34="N/A",0,'Data For Analysis'!BJ34-'Data For Analysis'!BJ33)</f>
        <v>0.13299999999999912</v>
      </c>
      <c r="BK34" s="16">
        <f>IF('Data For Analysis'!BK34="N/A",0,'Data For Analysis'!BK34-'Data For Analysis'!BK33)</f>
        <v>0.71600000000000108</v>
      </c>
      <c r="BL34" s="16">
        <f>IF('Data For Analysis'!BL34="N/A",0,'Data For Analysis'!BL34-'Data For Analysis'!BL33)</f>
        <v>1.532</v>
      </c>
      <c r="BM34" s="16">
        <f>IF('Data For Analysis'!BM34="N/A",0,'Data For Analysis'!BM34-'Data For Analysis'!BM33)</f>
        <v>3.65</v>
      </c>
      <c r="BN34" s="16">
        <f>IF('Data For Analysis'!BN34="N/A",0,'Data For Analysis'!BN34-'Data For Analysis'!BN33)</f>
        <v>0.16600000000000392</v>
      </c>
      <c r="BO34" s="16">
        <f>IF('Data For Analysis'!BO34="N/A",0,'Data For Analysis'!BO34-'Data For Analysis'!BO33)</f>
        <v>0.81700000000000017</v>
      </c>
      <c r="BP34" s="16">
        <f>IF('Data For Analysis'!BP34="N/A",0,'Data For Analysis'!BP34-'Data For Analysis'!BP33)</f>
        <v>0.52299999999999969</v>
      </c>
      <c r="BQ34" s="16">
        <f>IF('Data For Analysis'!BQ34="N/A",0,'Data For Analysis'!BQ34-'Data For Analysis'!BQ33)</f>
        <v>0.5</v>
      </c>
      <c r="BR34" s="16">
        <f>IF('Data For Analysis'!BR34="N/A",0,'Data For Analysis'!BR34-'Data For Analysis'!BR33)</f>
        <v>0.33300000000000018</v>
      </c>
      <c r="BS34" s="16">
        <f>IF('Data For Analysis'!BS34="N/A",0,'Data For Analysis'!BS34-'Data For Analysis'!BS33)</f>
        <v>0</v>
      </c>
      <c r="BT34" s="16">
        <f>IF('Data For Analysis'!BT34="N/A",0,'Data For Analysis'!BT34-'Data For Analysis'!BT33)</f>
        <v>0</v>
      </c>
      <c r="BU34" s="16">
        <f>IF('Data For Analysis'!BU34="N/A",0,'Data For Analysis'!BU34-'Data For Analysis'!BU33)</f>
        <v>1.7670000000000012</v>
      </c>
      <c r="BV34" s="16">
        <f>IF('Data For Analysis'!BV34="N/A",0,'Data For Analysis'!BV34-'Data For Analysis'!BV33)</f>
        <v>1.3000000000000007</v>
      </c>
      <c r="BW34" s="16">
        <f>IF('Data For Analysis'!BW34="N/A",0,'Data For Analysis'!BW34-'Data For Analysis'!BW33)</f>
        <v>3.7170000000000005</v>
      </c>
      <c r="BX34" s="16">
        <f>IF('Data For Analysis'!BX34="N/A",0,'Data For Analysis'!BX34-'Data For Analysis'!BX33)</f>
        <v>0</v>
      </c>
      <c r="BY34" s="16">
        <f>IF('Data For Analysis'!BY34="N/A",0,'Data For Analysis'!BY34-'Data For Analysis'!BY33)</f>
        <v>0</v>
      </c>
      <c r="BZ34" s="16">
        <f>IF('Data For Analysis'!BZ34="N/A",0,'Data For Analysis'!BZ34-'Data For Analysis'!BZ33)</f>
        <v>0.84999999999999964</v>
      </c>
      <c r="CA34" s="16">
        <f>IF('Data For Analysis'!CA34="N/A",0,'Data For Analysis'!CA34-'Data For Analysis'!CA33)</f>
        <v>0</v>
      </c>
      <c r="CB34" s="16">
        <f>IF('Data For Analysis'!CB34="N/A",0,'Data For Analysis'!CB34-'Data For Analysis'!CB33)</f>
        <v>0</v>
      </c>
      <c r="CC34" s="16">
        <f>IF('Data For Analysis'!CC34="N/A",0,'Data For Analysis'!CC34-'Data For Analysis'!CC33)</f>
        <v>2.333000000000002</v>
      </c>
      <c r="CD34" s="16">
        <f>IF('Data For Analysis'!CD34="N/A",0,'Data For Analysis'!CD34-'Data For Analysis'!CD33)</f>
        <v>0.59970000000000034</v>
      </c>
      <c r="CE34" s="16">
        <f>IF('Data For Analysis'!CE34="N/A",0,'Data For Analysis'!CE34-'Data For Analysis'!CE33)</f>
        <v>2.0499999999999998</v>
      </c>
      <c r="CF34" s="16">
        <f>IF('Data For Analysis'!CF34="N/A",0,'Data For Analysis'!CF34-'Data For Analysis'!CF33)</f>
        <v>0</v>
      </c>
      <c r="CG34" s="16">
        <f>IF('Data For Analysis'!CG34="N/A",0,'Data For Analysis'!CG34-'Data For Analysis'!CG33)</f>
        <v>1.9329999999999998</v>
      </c>
      <c r="CH34" s="16">
        <f>IF('Data For Analysis'!CH34="N/A",0,'Data For Analysis'!CH34-'Data For Analysis'!CH33)</f>
        <v>0</v>
      </c>
      <c r="CI34" s="16">
        <f>IF('Data For Analysis'!CI34="N/A",0,'Data For Analysis'!CI34-'Data For Analysis'!CI33)</f>
        <v>0.75</v>
      </c>
      <c r="CJ34" s="16">
        <f>IF('Data For Analysis'!CJ34="N/A",0,'Data For Analysis'!CJ34-'Data For Analysis'!CJ33)</f>
        <v>0</v>
      </c>
      <c r="CK34" s="16">
        <f>IF('Data For Analysis'!CK34="N/A",0,'Data For Analysis'!CK34-'Data For Analysis'!CK33)</f>
        <v>0</v>
      </c>
      <c r="CL34" s="16">
        <f>IF('Data For Analysis'!CL34="N/A",0,'Data For Analysis'!CL34-'Data For Analysis'!CL33)</f>
        <v>1.234</v>
      </c>
      <c r="CM34" s="16">
        <f>IF('Data For Analysis'!CM34="N/A",0,'Data For Analysis'!CM34-'Data For Analysis'!CM33)</f>
        <v>0.44999999999999929</v>
      </c>
      <c r="CN34" s="16"/>
      <c r="CO34" s="16"/>
      <c r="CP34" s="16"/>
      <c r="CQ34" s="16"/>
      <c r="CR34" s="16"/>
      <c r="CS34" s="16"/>
      <c r="CT34" s="16"/>
    </row>
    <row r="35" spans="2:98" ht="60" x14ac:dyDescent="0.25">
      <c r="B35" s="1" t="str">
        <f>'Data For Analysis'!B35</f>
        <v>4.l.2</v>
      </c>
      <c r="C35" s="6" t="str">
        <f>'Data For Analysis'!C35</f>
        <v>Travel (External) - Distance</v>
      </c>
      <c r="D35" s="16">
        <f>IF('Data For Analysis'!D35="N/A",0,'Data For Analysis'!D35-'Data For Analysis'!D34)</f>
        <v>0</v>
      </c>
      <c r="E35" s="16" t="str">
        <f>'Data For Analysis'!E35</f>
        <v>N/A</v>
      </c>
      <c r="F35" s="16" t="str">
        <f>'Data For Analysis'!F35</f>
        <v>N/A</v>
      </c>
      <c r="G35" s="16" t="str">
        <f>'Data For Analysis'!G35</f>
        <v>N/A</v>
      </c>
      <c r="H35" s="16" t="str">
        <f>'Data For Analysis'!H35</f>
        <v>N/A</v>
      </c>
      <c r="I35" s="16" t="str">
        <f>'Data For Analysis'!I35</f>
        <v>N/A</v>
      </c>
      <c r="J35" s="16" t="str">
        <f>'Data For Analysis'!J35</f>
        <v>N/A</v>
      </c>
      <c r="K35" s="16">
        <f>'Data For Analysis'!K35</f>
        <v>25</v>
      </c>
      <c r="L35" s="16">
        <f>'Data For Analysis'!L35</f>
        <v>75</v>
      </c>
      <c r="M35" s="16">
        <f>'Data For Analysis'!M35</f>
        <v>0</v>
      </c>
      <c r="N35" s="16">
        <f>'Data For Analysis'!N35</f>
        <v>90</v>
      </c>
      <c r="O35" s="16" t="str">
        <f>'Data For Analysis'!O35</f>
        <v>N/A</v>
      </c>
      <c r="P35" s="16" t="str">
        <f>'Data For Analysis'!P35</f>
        <v>N/A</v>
      </c>
      <c r="Q35" s="16">
        <f>'Data For Analysis'!Q35</f>
        <v>47</v>
      </c>
      <c r="R35" s="16">
        <f>'Data For Analysis'!R35</f>
        <v>15</v>
      </c>
      <c r="S35" s="16" t="str">
        <f>'Data For Analysis'!S35</f>
        <v>N/A</v>
      </c>
      <c r="T35" s="16">
        <f>'Data For Analysis'!T35</f>
        <v>20</v>
      </c>
      <c r="U35" s="16">
        <f>'Data For Analysis'!U35</f>
        <v>20</v>
      </c>
      <c r="V35" s="16">
        <f>'Data For Analysis'!V35</f>
        <v>15</v>
      </c>
      <c r="W35" s="16" t="str">
        <f>'Data For Analysis'!W35</f>
        <v>N/A</v>
      </c>
      <c r="X35" s="16">
        <f>'Data For Analysis'!X35</f>
        <v>9.25</v>
      </c>
      <c r="Y35" s="16" t="str">
        <f>'Data For Analysis'!Y35</f>
        <v>N/A</v>
      </c>
      <c r="Z35" s="16" t="str">
        <f>'Data For Analysis'!Z35</f>
        <v>N/A</v>
      </c>
      <c r="AA35" s="16" t="str">
        <f>'Data For Analysis'!AA35</f>
        <v>N/A</v>
      </c>
      <c r="AB35" s="16" t="str">
        <f>'Data For Analysis'!AB35</f>
        <v>N/A</v>
      </c>
      <c r="AC35" s="16" t="str">
        <f>'Data For Analysis'!AC35</f>
        <v>N/A</v>
      </c>
      <c r="AD35" s="16" t="str">
        <f>'Data For Analysis'!AD35</f>
        <v>N/A</v>
      </c>
      <c r="AE35" s="16" t="str">
        <f>'Data For Analysis'!AE35</f>
        <v>N/A</v>
      </c>
      <c r="AF35" s="16" t="str">
        <f>'Data For Analysis'!AF35</f>
        <v>N/A</v>
      </c>
      <c r="AG35" s="16" t="str">
        <f>'Data For Analysis'!AG35</f>
        <v>N/A</v>
      </c>
      <c r="AH35" s="16" t="str">
        <f>'Data For Analysis'!AH35</f>
        <v>N/A</v>
      </c>
      <c r="AI35" s="16" t="str">
        <f>'Data For Analysis'!AI35</f>
        <v>N/A</v>
      </c>
      <c r="AJ35" s="16" t="str">
        <f>'Data For Analysis'!AJ35</f>
        <v>N/A</v>
      </c>
      <c r="AK35" s="16" t="str">
        <f>'Data For Analysis'!AK35</f>
        <v>N/A</v>
      </c>
      <c r="AL35" s="16" t="str">
        <f>'Data For Analysis'!AL35</f>
        <v>N/A</v>
      </c>
      <c r="AM35" s="16" t="str">
        <f>'Data For Analysis'!AM35</f>
        <v>N/A</v>
      </c>
      <c r="AN35" s="16" t="str">
        <f>'Data For Analysis'!AN35</f>
        <v>N/A</v>
      </c>
      <c r="AO35" s="16" t="str">
        <f>'Data For Analysis'!AO35</f>
        <v>N/A</v>
      </c>
      <c r="AP35" s="16" t="str">
        <f>'Data For Analysis'!AP35</f>
        <v>N/A</v>
      </c>
      <c r="AQ35" s="16" t="str">
        <f>'Data For Analysis'!AQ35</f>
        <v>N/A</v>
      </c>
      <c r="AR35" s="16" t="str">
        <f>'Data For Analysis'!AR35</f>
        <v>N/A</v>
      </c>
      <c r="AS35" s="16" t="str">
        <f>'Data For Analysis'!AS35</f>
        <v>N/A</v>
      </c>
      <c r="AT35" s="16" t="str">
        <f>'Data For Analysis'!AT35</f>
        <v>N/A</v>
      </c>
      <c r="AU35" s="16" t="str">
        <f>'Data For Analysis'!AU35</f>
        <v>N/A</v>
      </c>
      <c r="AV35" s="16" t="str">
        <f>'Data For Analysis'!AV35</f>
        <v>N/A</v>
      </c>
      <c r="AW35" s="16" t="str">
        <f>'Data For Analysis'!AW35</f>
        <v>N/A</v>
      </c>
      <c r="AX35" s="16" t="str">
        <f>'Data For Analysis'!AX35</f>
        <v>Phone call times to FEDEX: 3 mins (fast days) or 5 mins (slow days)</v>
      </c>
      <c r="AY35" s="16" t="str">
        <f>'Data For Analysis'!AY35</f>
        <v>N/A</v>
      </c>
      <c r="AZ35" s="16" t="str">
        <f>'Data For Analysis'!AZ35</f>
        <v>N/A</v>
      </c>
      <c r="BA35" s="16" t="str">
        <f>'Data For Analysis'!BA35</f>
        <v>N/A</v>
      </c>
      <c r="BB35" s="16" t="str">
        <f>'Data For Analysis'!BB35</f>
        <v>N/A</v>
      </c>
      <c r="BC35" s="16" t="str">
        <f>'Data For Analysis'!BC35</f>
        <v>N/A</v>
      </c>
      <c r="BD35" s="16" t="str">
        <f>'Data For Analysis'!BD35</f>
        <v>N/A</v>
      </c>
      <c r="BE35" s="16" t="str">
        <f>'Data For Analysis'!BE35</f>
        <v>N/A</v>
      </c>
      <c r="BF35" s="16" t="str">
        <f>'Data For Analysis'!BF35</f>
        <v>N/A</v>
      </c>
      <c r="BG35" s="16" t="str">
        <f>'Data For Analysis'!BG35</f>
        <v>N/A</v>
      </c>
      <c r="BH35" s="16" t="str">
        <f>'Data For Analysis'!BH35</f>
        <v>N/A</v>
      </c>
      <c r="BI35" s="16" t="str">
        <f>'Data For Analysis'!BI35</f>
        <v>N/A</v>
      </c>
      <c r="BJ35" s="16" t="str">
        <f>'Data For Analysis'!BJ35</f>
        <v>N/A</v>
      </c>
      <c r="BK35" s="16" t="str">
        <f>'Data For Analysis'!BK35</f>
        <v>N/A</v>
      </c>
      <c r="BL35" s="16" t="str">
        <f>'Data For Analysis'!BL35</f>
        <v>N/A</v>
      </c>
      <c r="BM35" s="16" t="str">
        <f>'Data For Analysis'!BM35</f>
        <v>N/A</v>
      </c>
      <c r="BN35" s="16" t="str">
        <f>'Data For Analysis'!BN35</f>
        <v>N/A</v>
      </c>
      <c r="BO35" s="16" t="str">
        <f>'Data For Analysis'!BO35</f>
        <v>N/A</v>
      </c>
      <c r="BP35" s="16" t="str">
        <f>'Data For Analysis'!BP35</f>
        <v>N/A</v>
      </c>
      <c r="BQ35" s="16" t="str">
        <f>'Data For Analysis'!BQ35</f>
        <v>N/A</v>
      </c>
      <c r="BR35" s="16" t="str">
        <f>'Data For Analysis'!BR35</f>
        <v>N/A</v>
      </c>
      <c r="BS35" s="16" t="str">
        <f>'Data For Analysis'!BS35</f>
        <v>N/A</v>
      </c>
      <c r="BT35" s="16" t="str">
        <f>'Data For Analysis'!BT35</f>
        <v>N/A</v>
      </c>
      <c r="BU35" s="16" t="str">
        <f>'Data For Analysis'!BU35</f>
        <v>N/A</v>
      </c>
      <c r="BV35" s="16" t="str">
        <f>'Data For Analysis'!BV35</f>
        <v>N/A</v>
      </c>
      <c r="BW35" s="16" t="str">
        <f>'Data For Analysis'!BW35</f>
        <v>N/A</v>
      </c>
      <c r="BX35" s="16" t="str">
        <f>'Data For Analysis'!BX35</f>
        <v>6 miles, 15 mins</v>
      </c>
      <c r="BY35" s="16" t="str">
        <f>'Data For Analysis'!BY35</f>
        <v>90 miles, 105 mins</v>
      </c>
      <c r="BZ35" s="16" t="str">
        <f>'Data For Analysis'!BZ35</f>
        <v>N/A</v>
      </c>
      <c r="CA35" s="16" t="str">
        <f>'Data For Analysis'!CA35</f>
        <v>29 miles, 40 mins</v>
      </c>
      <c r="CB35" s="16" t="str">
        <f>'Data For Analysis'!CB35</f>
        <v>30 mins</v>
      </c>
      <c r="CC35" s="16" t="str">
        <f>'Data For Analysis'!CC35</f>
        <v>N/A</v>
      </c>
      <c r="CD35" s="16" t="str">
        <f>'Data For Analysis'!CD35</f>
        <v>N/A</v>
      </c>
      <c r="CE35" s="16" t="str">
        <f>'Data For Analysis'!CE35</f>
        <v>N/A</v>
      </c>
      <c r="CF35" s="16" t="str">
        <f>'Data For Analysis'!CF35</f>
        <v>3 miles, 10 mins</v>
      </c>
      <c r="CG35" s="16" t="str">
        <f>'Data For Analysis'!CG35</f>
        <v>N/A</v>
      </c>
      <c r="CH35" s="16" t="str">
        <f>'Data For Analysis'!CH35</f>
        <v>15 mins</v>
      </c>
      <c r="CI35" s="16" t="str">
        <f>'Data For Analysis'!CI35</f>
        <v>N/A</v>
      </c>
      <c r="CJ35" s="16" t="str">
        <f>'Data For Analysis'!CJ35</f>
        <v>1.5 miles, 6.917 mins</v>
      </c>
      <c r="CK35" s="16" t="str">
        <f>'Data For Analysis'!CK35</f>
        <v>60 miles, 60 mins</v>
      </c>
      <c r="CL35" s="16" t="str">
        <f>'Data For Analysis'!CL35</f>
        <v>N/A</v>
      </c>
      <c r="CM35" s="16" t="str">
        <f>'Data For Analysis'!CM35</f>
        <v>N/A</v>
      </c>
      <c r="CN35" s="16"/>
      <c r="CO35" s="16"/>
      <c r="CP35" s="16"/>
      <c r="CQ35" s="16"/>
      <c r="CR35" s="16"/>
      <c r="CS35" s="16"/>
      <c r="CT35" s="16"/>
    </row>
    <row r="36" spans="2:98" ht="52.5" customHeight="1" x14ac:dyDescent="0.25">
      <c r="C36" s="6" t="s">
        <v>78</v>
      </c>
      <c r="D36" s="16">
        <f t="shared" ref="D36:BO36" si="0">SUMIF($C$10:$C$35,"Indirect",D$10:D$35)</f>
        <v>21.25</v>
      </c>
      <c r="E36" s="16">
        <f t="shared" si="0"/>
        <v>17.266999999999996</v>
      </c>
      <c r="F36" s="16">
        <f t="shared" si="0"/>
        <v>37.800000000000004</v>
      </c>
      <c r="G36" s="16">
        <f t="shared" si="0"/>
        <v>22.699999999999996</v>
      </c>
      <c r="H36" s="16">
        <f t="shared" si="0"/>
        <v>17.683</v>
      </c>
      <c r="I36" s="16">
        <f t="shared" si="0"/>
        <v>21.816666666666666</v>
      </c>
      <c r="J36" s="16">
        <f t="shared" si="0"/>
        <v>17.95</v>
      </c>
      <c r="K36" s="16">
        <f t="shared" si="0"/>
        <v>29.099999999999998</v>
      </c>
      <c r="L36" s="16">
        <f t="shared" si="0"/>
        <v>18.364799999999999</v>
      </c>
      <c r="M36" s="16">
        <f t="shared" si="0"/>
        <v>38.783000000000001</v>
      </c>
      <c r="N36" s="16">
        <f t="shared" si="0"/>
        <v>27.867000000000001</v>
      </c>
      <c r="O36" s="16">
        <f t="shared" si="0"/>
        <v>27.299999999999997</v>
      </c>
      <c r="P36" s="16">
        <f t="shared" si="0"/>
        <v>12.533999999999999</v>
      </c>
      <c r="Q36" s="16">
        <f t="shared" si="0"/>
        <v>28.850999999999999</v>
      </c>
      <c r="R36" s="16">
        <f t="shared" si="0"/>
        <v>19.249299999999998</v>
      </c>
      <c r="S36" s="16">
        <f t="shared" si="0"/>
        <v>14.064499999999999</v>
      </c>
      <c r="T36" s="16">
        <f t="shared" si="0"/>
        <v>26.050999999999998</v>
      </c>
      <c r="U36" s="16">
        <f t="shared" si="0"/>
        <v>27.166999999999998</v>
      </c>
      <c r="V36" s="16">
        <f t="shared" si="0"/>
        <v>35.849999999999994</v>
      </c>
      <c r="W36" s="16">
        <f t="shared" si="0"/>
        <v>14.600000000000001</v>
      </c>
      <c r="X36" s="16">
        <f t="shared" si="0"/>
        <v>21.95</v>
      </c>
      <c r="Y36" s="16">
        <f t="shared" si="0"/>
        <v>18.533000000000001</v>
      </c>
      <c r="Z36" s="16">
        <f t="shared" si="0"/>
        <v>16.400000000000002</v>
      </c>
      <c r="AA36" s="16">
        <f t="shared" si="0"/>
        <v>31.1</v>
      </c>
      <c r="AB36" s="16">
        <f t="shared" si="0"/>
        <v>16.967300000000002</v>
      </c>
      <c r="AC36" s="16">
        <f t="shared" si="0"/>
        <v>13.353499999999999</v>
      </c>
      <c r="AD36" s="16">
        <f t="shared" si="0"/>
        <v>13.178000000000001</v>
      </c>
      <c r="AE36" s="16">
        <f t="shared" si="0"/>
        <v>20.265999999999998</v>
      </c>
      <c r="AF36" s="16">
        <f t="shared" si="0"/>
        <v>16.150300000000001</v>
      </c>
      <c r="AG36" s="16">
        <f t="shared" si="0"/>
        <v>28.183299999999999</v>
      </c>
      <c r="AH36" s="16">
        <f t="shared" si="0"/>
        <v>20.2163</v>
      </c>
      <c r="AI36" s="16">
        <f t="shared" si="0"/>
        <v>21.300000000000004</v>
      </c>
      <c r="AJ36" s="16">
        <f t="shared" si="0"/>
        <v>23.132999999999999</v>
      </c>
      <c r="AK36" s="16">
        <f t="shared" si="0"/>
        <v>29.082999999999998</v>
      </c>
      <c r="AL36" s="16">
        <f t="shared" si="0"/>
        <v>27.716999999999999</v>
      </c>
      <c r="AM36" s="16">
        <f t="shared" si="0"/>
        <v>12.149999999999999</v>
      </c>
      <c r="AN36" s="16">
        <f t="shared" si="0"/>
        <v>31.971999999999998</v>
      </c>
      <c r="AO36" s="16">
        <f t="shared" si="0"/>
        <v>30.716300000000004</v>
      </c>
      <c r="AP36" s="16">
        <f t="shared" si="0"/>
        <v>27.817</v>
      </c>
      <c r="AQ36" s="16">
        <f t="shared" si="0"/>
        <v>24.167000000000002</v>
      </c>
      <c r="AR36" s="16">
        <f t="shared" si="0"/>
        <v>11.967000000000002</v>
      </c>
      <c r="AS36" s="16">
        <f t="shared" si="0"/>
        <v>19.408999999999999</v>
      </c>
      <c r="AT36" s="16">
        <f t="shared" si="0"/>
        <v>16.032999999999998</v>
      </c>
      <c r="AU36" s="16">
        <f t="shared" si="0"/>
        <v>22.683</v>
      </c>
      <c r="AV36" s="16">
        <f t="shared" si="0"/>
        <v>34.224299999999999</v>
      </c>
      <c r="AW36" s="16">
        <f t="shared" si="0"/>
        <v>30.300999999999998</v>
      </c>
      <c r="AX36" s="16">
        <f t="shared" si="0"/>
        <v>18</v>
      </c>
      <c r="AY36" s="16">
        <f t="shared" si="0"/>
        <v>17.233000000000001</v>
      </c>
      <c r="AZ36" s="16">
        <f t="shared" si="0"/>
        <v>15.481999999999999</v>
      </c>
      <c r="BA36" s="16">
        <f t="shared" si="0"/>
        <v>19.165699999999998</v>
      </c>
      <c r="BB36" s="16">
        <f t="shared" si="0"/>
        <v>26.967000000000006</v>
      </c>
      <c r="BC36" s="16">
        <f t="shared" si="0"/>
        <v>19.5167</v>
      </c>
      <c r="BD36" s="16">
        <f t="shared" si="0"/>
        <v>20.049999999999997</v>
      </c>
      <c r="BE36" s="16">
        <f t="shared" si="0"/>
        <v>26.700299999999999</v>
      </c>
      <c r="BF36" s="16">
        <f t="shared" si="0"/>
        <v>18.183</v>
      </c>
      <c r="BG36" s="16">
        <f t="shared" si="0"/>
        <v>19.497999999999998</v>
      </c>
      <c r="BH36" s="16">
        <f t="shared" si="0"/>
        <v>18.0337</v>
      </c>
      <c r="BI36" s="16">
        <f t="shared" si="0"/>
        <v>16.351300000000002</v>
      </c>
      <c r="BJ36" s="16">
        <f t="shared" si="0"/>
        <v>26.85</v>
      </c>
      <c r="BK36" s="16">
        <f t="shared" si="0"/>
        <v>12.082999999999998</v>
      </c>
      <c r="BL36" s="16">
        <f t="shared" si="0"/>
        <v>23.386199999999999</v>
      </c>
      <c r="BM36" s="16">
        <f t="shared" si="0"/>
        <v>9.7840000000000007</v>
      </c>
      <c r="BN36" s="16">
        <f t="shared" si="0"/>
        <v>42.033999999999999</v>
      </c>
      <c r="BO36" s="16">
        <f t="shared" si="0"/>
        <v>29.367000000000001</v>
      </c>
      <c r="BP36" s="16">
        <f t="shared" ref="BP36:CM36" si="1">SUMIF($C$10:$C$35,"Indirect",BP$10:BP$35)</f>
        <v>33.742000000000004</v>
      </c>
      <c r="BQ36" s="16">
        <f t="shared" si="1"/>
        <v>15.649000000000001</v>
      </c>
      <c r="BR36" s="16">
        <f t="shared" si="1"/>
        <v>15.3</v>
      </c>
      <c r="BS36" s="16">
        <f t="shared" si="1"/>
        <v>7.3056999999999981</v>
      </c>
      <c r="BT36" s="16">
        <f t="shared" si="1"/>
        <v>12.067</v>
      </c>
      <c r="BU36" s="16">
        <f t="shared" si="1"/>
        <v>18.183</v>
      </c>
      <c r="BV36" s="16">
        <f t="shared" si="1"/>
        <v>24.083300000000008</v>
      </c>
      <c r="BW36" s="16">
        <f t="shared" si="1"/>
        <v>19.883299999999998</v>
      </c>
      <c r="BX36" s="16">
        <f t="shared" si="1"/>
        <v>17.183299999999999</v>
      </c>
      <c r="BY36" s="16">
        <f t="shared" si="1"/>
        <v>15.767000000000001</v>
      </c>
      <c r="BZ36" s="16">
        <f t="shared" si="1"/>
        <v>21.083000000000002</v>
      </c>
      <c r="CA36" s="16">
        <f t="shared" si="1"/>
        <v>13.616</v>
      </c>
      <c r="CB36" s="16">
        <f t="shared" si="1"/>
        <v>33.683</v>
      </c>
      <c r="CC36" s="16">
        <f t="shared" si="1"/>
        <v>26.1</v>
      </c>
      <c r="CD36" s="16">
        <f t="shared" si="1"/>
        <v>10.867000000000001</v>
      </c>
      <c r="CE36" s="16">
        <f t="shared" si="1"/>
        <v>8.5829999999999984</v>
      </c>
      <c r="CF36" s="16">
        <f t="shared" si="1"/>
        <v>19.566299999999998</v>
      </c>
      <c r="CG36" s="16">
        <f t="shared" si="1"/>
        <v>28.067</v>
      </c>
      <c r="CH36" s="16">
        <f t="shared" si="1"/>
        <v>44.132999999999996</v>
      </c>
      <c r="CI36" s="16">
        <f t="shared" si="1"/>
        <v>22.5</v>
      </c>
      <c r="CJ36" s="16">
        <f t="shared" si="1"/>
        <v>21.25</v>
      </c>
      <c r="CK36" s="16">
        <f t="shared" si="1"/>
        <v>23.483000000000004</v>
      </c>
      <c r="CL36" s="16">
        <f t="shared" si="1"/>
        <v>14.968999999999998</v>
      </c>
      <c r="CM36" s="16">
        <f t="shared" si="1"/>
        <v>23.798999999999999</v>
      </c>
      <c r="CN36" s="16"/>
      <c r="CO36" s="16"/>
      <c r="CP36" s="16"/>
      <c r="CQ36" s="16"/>
      <c r="CR36" s="16"/>
      <c r="CS36" s="16"/>
      <c r="CT36" s="16"/>
    </row>
    <row r="37" spans="2:98" x14ac:dyDescent="0.25">
      <c r="C37" s="6" t="s">
        <v>79</v>
      </c>
      <c r="D37" s="16">
        <f t="shared" ref="D37:BO37" si="2">SUMIF($C$10:$C$35,"Direct",D$10:D$35)</f>
        <v>40.016666666666666</v>
      </c>
      <c r="E37" s="16">
        <f t="shared" si="2"/>
        <v>38.899000000000008</v>
      </c>
      <c r="F37" s="16">
        <f t="shared" si="2"/>
        <v>32.733333333333334</v>
      </c>
      <c r="G37" s="16">
        <f t="shared" si="2"/>
        <v>26.717999999999993</v>
      </c>
      <c r="H37" s="16">
        <f t="shared" si="2"/>
        <v>25.465999999999998</v>
      </c>
      <c r="I37" s="16">
        <f t="shared" si="2"/>
        <v>24.65</v>
      </c>
      <c r="J37" s="16">
        <f t="shared" si="2"/>
        <v>57.766666666666666</v>
      </c>
      <c r="K37" s="16">
        <f t="shared" si="2"/>
        <v>44.332999999999998</v>
      </c>
      <c r="L37" s="16">
        <f t="shared" si="2"/>
        <v>29.419</v>
      </c>
      <c r="M37" s="16">
        <f t="shared" si="2"/>
        <v>41.783000000000001</v>
      </c>
      <c r="N37" s="16">
        <f t="shared" si="2"/>
        <v>36.5837</v>
      </c>
      <c r="O37" s="16">
        <f t="shared" si="2"/>
        <v>24.417000000000002</v>
      </c>
      <c r="P37" s="16">
        <f t="shared" si="2"/>
        <v>42.265999999999998</v>
      </c>
      <c r="Q37" s="16">
        <f t="shared" si="2"/>
        <v>48.048999999999992</v>
      </c>
      <c r="R37" s="16">
        <f t="shared" si="2"/>
        <v>15.75</v>
      </c>
      <c r="S37" s="16">
        <f t="shared" si="2"/>
        <v>19.420999999999999</v>
      </c>
      <c r="T37" s="16">
        <f t="shared" si="2"/>
        <v>35.667000000000002</v>
      </c>
      <c r="U37" s="16">
        <f t="shared" si="2"/>
        <v>40.149700000000003</v>
      </c>
      <c r="V37" s="16">
        <f t="shared" si="2"/>
        <v>62.499000000000009</v>
      </c>
      <c r="W37" s="16">
        <f t="shared" si="2"/>
        <v>31.766300000000001</v>
      </c>
      <c r="X37" s="16">
        <f t="shared" si="2"/>
        <v>32.850300000000004</v>
      </c>
      <c r="Y37" s="16">
        <f t="shared" si="2"/>
        <v>51.498699999999999</v>
      </c>
      <c r="Z37" s="16">
        <f t="shared" si="2"/>
        <v>27.980000000000004</v>
      </c>
      <c r="AA37" s="16">
        <f t="shared" si="2"/>
        <v>15.433</v>
      </c>
      <c r="AB37" s="16">
        <f t="shared" si="2"/>
        <v>53.549700000000001</v>
      </c>
      <c r="AC37" s="16">
        <f t="shared" si="2"/>
        <v>27.739000000000001</v>
      </c>
      <c r="AD37" s="16">
        <f t="shared" si="2"/>
        <v>23.023300000000003</v>
      </c>
      <c r="AE37" s="16">
        <f t="shared" si="2"/>
        <v>43.187000000000005</v>
      </c>
      <c r="AF37" s="16">
        <f t="shared" si="2"/>
        <v>41.3504</v>
      </c>
      <c r="AG37" s="16">
        <f t="shared" si="2"/>
        <v>28.849000000000004</v>
      </c>
      <c r="AH37" s="16">
        <f t="shared" si="2"/>
        <v>29.700000000000003</v>
      </c>
      <c r="AI37" s="16">
        <f t="shared" si="2"/>
        <v>43.500700000000002</v>
      </c>
      <c r="AJ37" s="16">
        <f t="shared" si="2"/>
        <v>41.670999999999999</v>
      </c>
      <c r="AK37" s="16">
        <f t="shared" si="2"/>
        <v>35.482999999999997</v>
      </c>
      <c r="AL37" s="16">
        <f t="shared" si="2"/>
        <v>52.750999999999998</v>
      </c>
      <c r="AM37" s="16">
        <f t="shared" si="2"/>
        <v>36.750000000000007</v>
      </c>
      <c r="AN37" s="16">
        <f t="shared" si="2"/>
        <v>39.349999999999994</v>
      </c>
      <c r="AO37" s="16">
        <f t="shared" si="2"/>
        <v>40.414999999999999</v>
      </c>
      <c r="AP37" s="16">
        <f t="shared" si="2"/>
        <v>33.766000000000005</v>
      </c>
      <c r="AQ37" s="16">
        <f t="shared" si="2"/>
        <v>22.016399999999997</v>
      </c>
      <c r="AR37" s="16">
        <f t="shared" si="2"/>
        <v>30.051000000000002</v>
      </c>
      <c r="AS37" s="16">
        <f t="shared" si="2"/>
        <v>59.820500000000003</v>
      </c>
      <c r="AT37" s="16">
        <f t="shared" si="2"/>
        <v>38.116999999999997</v>
      </c>
      <c r="AU37" s="16">
        <f t="shared" si="2"/>
        <v>32.9</v>
      </c>
      <c r="AV37" s="16">
        <f t="shared" si="2"/>
        <v>20.515999999999998</v>
      </c>
      <c r="AW37" s="16">
        <f t="shared" si="2"/>
        <v>51.100299999999997</v>
      </c>
      <c r="AX37" s="16">
        <f t="shared" si="2"/>
        <v>61.084000000000003</v>
      </c>
      <c r="AY37" s="16">
        <f t="shared" si="2"/>
        <v>26.166</v>
      </c>
      <c r="AZ37" s="16">
        <f t="shared" si="2"/>
        <v>46.199700000000007</v>
      </c>
      <c r="BA37" s="16">
        <f t="shared" si="2"/>
        <v>57.5336</v>
      </c>
      <c r="BB37" s="16">
        <f t="shared" si="2"/>
        <v>20.882999999999999</v>
      </c>
      <c r="BC37" s="16">
        <f t="shared" si="2"/>
        <v>42.416000000000004</v>
      </c>
      <c r="BD37" s="16">
        <f t="shared" si="2"/>
        <v>41.515999999999998</v>
      </c>
      <c r="BE37" s="16">
        <f t="shared" si="2"/>
        <v>29.432299999999998</v>
      </c>
      <c r="BF37" s="16">
        <f t="shared" si="2"/>
        <v>29.467000000000002</v>
      </c>
      <c r="BG37" s="16">
        <f t="shared" si="2"/>
        <v>34.645199999999996</v>
      </c>
      <c r="BH37" s="16">
        <f t="shared" si="2"/>
        <v>36.266299999999994</v>
      </c>
      <c r="BI37" s="16">
        <f t="shared" si="2"/>
        <v>19.541999999999998</v>
      </c>
      <c r="BJ37" s="16">
        <f t="shared" si="2"/>
        <v>25.966999999999999</v>
      </c>
      <c r="BK37" s="16">
        <f t="shared" si="2"/>
        <v>13.1</v>
      </c>
      <c r="BL37" s="16">
        <f t="shared" si="2"/>
        <v>37.509300000000003</v>
      </c>
      <c r="BM37" s="16">
        <f t="shared" si="2"/>
        <v>19.549299999999999</v>
      </c>
      <c r="BN37" s="16">
        <f t="shared" si="2"/>
        <v>31.0717</v>
      </c>
      <c r="BO37" s="16">
        <f t="shared" si="2"/>
        <v>28.6493</v>
      </c>
      <c r="BP37" s="16">
        <f t="shared" ref="BP37:CM37" si="3">SUMIF($C$10:$C$35,"Direct",BP$10:BP$35)</f>
        <v>60.104999999999997</v>
      </c>
      <c r="BQ37" s="16">
        <f t="shared" si="3"/>
        <v>21.351000000000003</v>
      </c>
      <c r="BR37" s="16">
        <f t="shared" si="3"/>
        <v>33.483700000000006</v>
      </c>
      <c r="BS37" s="16">
        <f t="shared" si="3"/>
        <v>46.535999999999994</v>
      </c>
      <c r="BT37" s="16">
        <f t="shared" si="3"/>
        <v>46.982999999999997</v>
      </c>
      <c r="BU37" s="16">
        <f t="shared" si="3"/>
        <v>64.816300000000012</v>
      </c>
      <c r="BV37" s="16">
        <f t="shared" si="3"/>
        <v>45.216999999999999</v>
      </c>
      <c r="BW37" s="16">
        <f t="shared" si="3"/>
        <v>46.216999999999992</v>
      </c>
      <c r="BX37" s="16">
        <f t="shared" si="3"/>
        <v>15.716700000000001</v>
      </c>
      <c r="BY37" s="16">
        <f t="shared" si="3"/>
        <v>8.3333000000000013</v>
      </c>
      <c r="BZ37" s="16">
        <f t="shared" si="3"/>
        <v>32.732700000000001</v>
      </c>
      <c r="CA37" s="16">
        <f t="shared" si="3"/>
        <v>6.2006999999999994</v>
      </c>
      <c r="CB37" s="16">
        <f t="shared" si="3"/>
        <v>48.466999999999999</v>
      </c>
      <c r="CC37" s="16">
        <f t="shared" si="3"/>
        <v>39.884000000000007</v>
      </c>
      <c r="CD37" s="16">
        <f t="shared" si="3"/>
        <v>39.701999999999998</v>
      </c>
      <c r="CE37" s="16">
        <f t="shared" si="3"/>
        <v>8.85</v>
      </c>
      <c r="CF37" s="16">
        <f t="shared" si="3"/>
        <v>18.533000000000001</v>
      </c>
      <c r="CG37" s="16">
        <f t="shared" si="3"/>
        <v>48.633299999999998</v>
      </c>
      <c r="CH37" s="16">
        <f t="shared" si="3"/>
        <v>27.3</v>
      </c>
      <c r="CI37" s="16">
        <f t="shared" si="3"/>
        <v>63</v>
      </c>
      <c r="CJ37" s="16">
        <f t="shared" si="3"/>
        <v>30.383000000000003</v>
      </c>
      <c r="CK37" s="16">
        <f t="shared" si="3"/>
        <v>52.516999999999996</v>
      </c>
      <c r="CL37" s="16">
        <f t="shared" si="3"/>
        <v>67.398499999999999</v>
      </c>
      <c r="CM37" s="16">
        <f t="shared" si="3"/>
        <v>33.482999999999997</v>
      </c>
      <c r="CN37" s="16"/>
      <c r="CO37" s="16"/>
      <c r="CP37" s="16"/>
      <c r="CQ37" s="16"/>
      <c r="CR37" s="16"/>
      <c r="CS37" s="16"/>
      <c r="CT37" s="16"/>
    </row>
    <row r="38" spans="2:98" ht="31.5" customHeight="1" x14ac:dyDescent="0.25">
      <c r="C38" s="6" t="s">
        <v>80</v>
      </c>
      <c r="D38" s="16">
        <f>SUMIF($C$10:$C$35,"Travel*",D$10:D$35)</f>
        <v>9.6833333333333318</v>
      </c>
      <c r="E38" s="16">
        <f t="shared" ref="E38:BP38" si="4">SUMIF($C$10:$C$35,"Travel*",E$10:E$35)</f>
        <v>3.5509999999999948</v>
      </c>
      <c r="F38" s="16">
        <f t="shared" si="4"/>
        <v>2.716666666666665</v>
      </c>
      <c r="G38" s="16">
        <f t="shared" si="4"/>
        <v>8.5330000000000048</v>
      </c>
      <c r="H38" s="16">
        <f t="shared" si="4"/>
        <v>4.8850000000000016</v>
      </c>
      <c r="I38" s="16">
        <f t="shared" si="4"/>
        <v>12.25</v>
      </c>
      <c r="J38" s="16">
        <f t="shared" si="4"/>
        <v>2.116666666666668</v>
      </c>
      <c r="K38" s="16">
        <f t="shared" si="4"/>
        <v>30.55</v>
      </c>
      <c r="L38" s="16">
        <f t="shared" si="4"/>
        <v>77.177999999999997</v>
      </c>
      <c r="M38" s="16">
        <f t="shared" si="4"/>
        <v>2.8836666666666662</v>
      </c>
      <c r="N38" s="16">
        <f t="shared" si="4"/>
        <v>92.699299999999994</v>
      </c>
      <c r="O38" s="16">
        <f t="shared" si="4"/>
        <v>3.916999999999998</v>
      </c>
      <c r="P38" s="16">
        <f t="shared" si="4"/>
        <v>3.3670000000000018</v>
      </c>
      <c r="Q38" s="16">
        <f t="shared" si="4"/>
        <v>50.134000000000007</v>
      </c>
      <c r="R38" s="16">
        <f t="shared" si="4"/>
        <v>20.167000000000002</v>
      </c>
      <c r="S38" s="16">
        <f t="shared" si="4"/>
        <v>3.2145000000000028</v>
      </c>
      <c r="T38" s="16">
        <f t="shared" si="4"/>
        <v>22.866</v>
      </c>
      <c r="U38" s="16">
        <f t="shared" si="4"/>
        <v>21.283300000000004</v>
      </c>
      <c r="V38" s="16">
        <f t="shared" si="4"/>
        <v>53.118000000000002</v>
      </c>
      <c r="W38" s="16">
        <f t="shared" si="4"/>
        <v>6.2677000000000005</v>
      </c>
      <c r="X38" s="16">
        <f t="shared" si="4"/>
        <v>10.149699999999999</v>
      </c>
      <c r="Y38" s="16">
        <f t="shared" si="4"/>
        <v>6.4843000000000037</v>
      </c>
      <c r="Z38" s="16">
        <f t="shared" si="4"/>
        <v>5.8699999999999974</v>
      </c>
      <c r="AA38" s="16">
        <f t="shared" si="4"/>
        <v>1.1836999999999984</v>
      </c>
      <c r="AB38" s="16">
        <f t="shared" si="4"/>
        <v>6.6492999999999984</v>
      </c>
      <c r="AC38" s="16">
        <f t="shared" si="4"/>
        <v>1.6096999999999979</v>
      </c>
      <c r="AD38" s="16">
        <f t="shared" si="4"/>
        <v>2.3366999999999969</v>
      </c>
      <c r="AE38" s="16">
        <f t="shared" si="4"/>
        <v>14.469000000000003</v>
      </c>
      <c r="AF38" s="16">
        <f t="shared" si="4"/>
        <v>9.8666000000000018</v>
      </c>
      <c r="AG38" s="16">
        <f t="shared" si="4"/>
        <v>8.7836999999999961</v>
      </c>
      <c r="AH38" s="16">
        <f t="shared" si="4"/>
        <v>3.8326999999999991</v>
      </c>
      <c r="AI38" s="16">
        <f t="shared" si="4"/>
        <v>9.7493000000000016</v>
      </c>
      <c r="AJ38" s="16">
        <f t="shared" si="4"/>
        <v>15.695700000000004</v>
      </c>
      <c r="AK38" s="16">
        <f t="shared" si="4"/>
        <v>7.5170000000000039</v>
      </c>
      <c r="AL38" s="16">
        <f t="shared" si="4"/>
        <v>5.4659999999999993</v>
      </c>
      <c r="AM38" s="16">
        <f t="shared" si="4"/>
        <v>4.1999999999999993</v>
      </c>
      <c r="AN38" s="16">
        <f t="shared" si="4"/>
        <v>1.6780000000000019</v>
      </c>
      <c r="AO38" s="16">
        <f t="shared" si="4"/>
        <v>7.5347000000000026</v>
      </c>
      <c r="AP38" s="16">
        <f t="shared" si="4"/>
        <v>2.4170000000000034</v>
      </c>
      <c r="AQ38" s="16">
        <f t="shared" si="4"/>
        <v>8.4496000000000002</v>
      </c>
      <c r="AR38" s="16">
        <f t="shared" si="4"/>
        <v>9.3320000000000007</v>
      </c>
      <c r="AS38" s="16">
        <f t="shared" si="4"/>
        <v>5.0715000000000021</v>
      </c>
      <c r="AT38" s="16">
        <f t="shared" si="4"/>
        <v>9.7170000000000023</v>
      </c>
      <c r="AU38" s="16">
        <f t="shared" si="4"/>
        <v>13.1503</v>
      </c>
      <c r="AV38" s="16">
        <f t="shared" si="4"/>
        <v>15.248000000000003</v>
      </c>
      <c r="AW38" s="16">
        <f t="shared" si="4"/>
        <v>1.4987000000000013</v>
      </c>
      <c r="AX38" s="16">
        <f t="shared" si="4"/>
        <v>10.499999999999998</v>
      </c>
      <c r="AY38" s="16">
        <f t="shared" si="4"/>
        <v>7.6669999999999998</v>
      </c>
      <c r="AZ38" s="16">
        <f t="shared" si="4"/>
        <v>13.417599999999995</v>
      </c>
      <c r="BA38" s="16">
        <f t="shared" si="4"/>
        <v>3.7336999999999989</v>
      </c>
      <c r="BB38" s="16">
        <f t="shared" si="4"/>
        <v>2.5830000000000002</v>
      </c>
      <c r="BC38" s="16">
        <f t="shared" si="4"/>
        <v>5.3345999999999982</v>
      </c>
      <c r="BD38" s="16">
        <f t="shared" si="4"/>
        <v>5.3510000000000044</v>
      </c>
      <c r="BE38" s="16">
        <f t="shared" si="4"/>
        <v>8.2014000000000031</v>
      </c>
      <c r="BF38" s="16">
        <f t="shared" si="4"/>
        <v>10.900000000000002</v>
      </c>
      <c r="BG38" s="16">
        <f t="shared" si="4"/>
        <v>24.616800000000001</v>
      </c>
      <c r="BH38" s="16">
        <f t="shared" si="4"/>
        <v>1.4500000000000042</v>
      </c>
      <c r="BI38" s="16">
        <f t="shared" si="4"/>
        <v>3.5069999999999988</v>
      </c>
      <c r="BJ38" s="16">
        <f t="shared" si="4"/>
        <v>1.5659999999999998</v>
      </c>
      <c r="BK38" s="16">
        <f t="shared" si="4"/>
        <v>3.0830000000000011</v>
      </c>
      <c r="BL38" s="16">
        <f t="shared" si="4"/>
        <v>7.0346999999999946</v>
      </c>
      <c r="BM38" s="16">
        <f t="shared" si="4"/>
        <v>6.4837000000000025</v>
      </c>
      <c r="BN38" s="16">
        <f t="shared" si="4"/>
        <v>1.3273000000000041</v>
      </c>
      <c r="BO38" s="16">
        <f t="shared" si="4"/>
        <v>3.0506999999999973</v>
      </c>
      <c r="BP38" s="16">
        <f t="shared" si="4"/>
        <v>13.885000000000007</v>
      </c>
      <c r="BQ38" s="16">
        <f t="shared" ref="BQ38:CM38" si="5">SUMIF($C$10:$C$35,"Travel*",BQ$10:BQ$35)</f>
        <v>9.9999999999999982</v>
      </c>
      <c r="BR38" s="16">
        <f t="shared" si="5"/>
        <v>2.0832999999999977</v>
      </c>
      <c r="BS38" s="16">
        <f t="shared" si="5"/>
        <v>1.3643000000000041</v>
      </c>
      <c r="BT38" s="16">
        <f t="shared" si="5"/>
        <v>3.25</v>
      </c>
      <c r="BU38" s="16">
        <f t="shared" si="5"/>
        <v>14.733699999999997</v>
      </c>
      <c r="BV38" s="16">
        <f t="shared" si="5"/>
        <v>2.3499999999999965</v>
      </c>
      <c r="BW38" s="16">
        <f t="shared" si="5"/>
        <v>12.200000000000005</v>
      </c>
      <c r="BX38" s="16">
        <f t="shared" si="5"/>
        <v>2.867</v>
      </c>
      <c r="BY38" s="16">
        <f t="shared" si="5"/>
        <v>1.0666999999999995</v>
      </c>
      <c r="BZ38" s="16">
        <f t="shared" si="5"/>
        <v>8.7832999999999988</v>
      </c>
      <c r="CA38" s="16">
        <f t="shared" si="5"/>
        <v>2.6663000000000006</v>
      </c>
      <c r="CB38" s="16">
        <f t="shared" si="5"/>
        <v>3.9159999999999968</v>
      </c>
      <c r="CC38" s="16">
        <f t="shared" si="5"/>
        <v>13.766000000000002</v>
      </c>
      <c r="CD38" s="16">
        <f t="shared" si="5"/>
        <v>7.4977000000000018</v>
      </c>
      <c r="CE38" s="16">
        <f t="shared" si="5"/>
        <v>10.832999999999998</v>
      </c>
      <c r="CF38" s="16">
        <f t="shared" si="5"/>
        <v>1.6170000000000011</v>
      </c>
      <c r="CG38" s="16">
        <f t="shared" si="5"/>
        <v>9.016</v>
      </c>
      <c r="CH38" s="16">
        <f t="shared" si="5"/>
        <v>9.3339999999999996</v>
      </c>
      <c r="CI38" s="16">
        <f t="shared" si="5"/>
        <v>7.5</v>
      </c>
      <c r="CJ38" s="16">
        <f t="shared" si="5"/>
        <v>3.3499999999999996</v>
      </c>
      <c r="CK38" s="16">
        <f t="shared" si="5"/>
        <v>4.4830000000000005</v>
      </c>
      <c r="CL38" s="16">
        <f t="shared" si="5"/>
        <v>4.4935000000000018</v>
      </c>
      <c r="CM38" s="16">
        <f t="shared" si="5"/>
        <v>4.9340000000000019</v>
      </c>
      <c r="CN38" s="16"/>
      <c r="CO38" s="16"/>
      <c r="CP38" s="16"/>
      <c r="CQ38" s="16"/>
      <c r="CR38" s="16"/>
      <c r="CS38" s="16"/>
      <c r="CT38" s="16"/>
    </row>
    <row r="39" spans="2:98" ht="78.75" customHeight="1" x14ac:dyDescent="0.25">
      <c r="C39" s="6" t="s">
        <v>60</v>
      </c>
      <c r="D39" s="11">
        <f>D36+D37</f>
        <v>61.266666666666666</v>
      </c>
      <c r="E39" s="11">
        <f t="shared" ref="E39:BP39" si="6">E36+E37</f>
        <v>56.166000000000004</v>
      </c>
      <c r="F39" s="11">
        <f t="shared" si="6"/>
        <v>70.533333333333331</v>
      </c>
      <c r="G39" s="11">
        <f t="shared" si="6"/>
        <v>49.417999999999992</v>
      </c>
      <c r="H39" s="11">
        <f t="shared" si="6"/>
        <v>43.149000000000001</v>
      </c>
      <c r="I39" s="11">
        <f t="shared" si="6"/>
        <v>46.466666666666669</v>
      </c>
      <c r="J39" s="11">
        <f t="shared" si="6"/>
        <v>75.716666666666669</v>
      </c>
      <c r="K39" s="11">
        <f t="shared" si="6"/>
        <v>73.432999999999993</v>
      </c>
      <c r="L39" s="11">
        <f t="shared" si="6"/>
        <v>47.783799999999999</v>
      </c>
      <c r="M39" s="11">
        <f t="shared" si="6"/>
        <v>80.566000000000003</v>
      </c>
      <c r="N39" s="11">
        <f t="shared" si="6"/>
        <v>64.450699999999998</v>
      </c>
      <c r="O39" s="11">
        <f t="shared" si="6"/>
        <v>51.716999999999999</v>
      </c>
      <c r="P39" s="11">
        <f t="shared" si="6"/>
        <v>54.8</v>
      </c>
      <c r="Q39" s="11">
        <f t="shared" si="6"/>
        <v>76.899999999999991</v>
      </c>
      <c r="R39" s="11">
        <f t="shared" si="6"/>
        <v>34.999299999999998</v>
      </c>
      <c r="S39" s="11">
        <f t="shared" si="6"/>
        <v>33.485500000000002</v>
      </c>
      <c r="T39" s="11">
        <f t="shared" si="6"/>
        <v>61.718000000000004</v>
      </c>
      <c r="U39" s="11">
        <f t="shared" si="6"/>
        <v>67.316699999999997</v>
      </c>
      <c r="V39" s="11">
        <f t="shared" si="6"/>
        <v>98.349000000000004</v>
      </c>
      <c r="W39" s="11">
        <f t="shared" si="6"/>
        <v>46.366300000000003</v>
      </c>
      <c r="X39" s="11">
        <f t="shared" si="6"/>
        <v>54.800300000000007</v>
      </c>
      <c r="Y39" s="11">
        <f t="shared" si="6"/>
        <v>70.031700000000001</v>
      </c>
      <c r="Z39" s="11">
        <f t="shared" si="6"/>
        <v>44.38000000000001</v>
      </c>
      <c r="AA39" s="11">
        <f t="shared" si="6"/>
        <v>46.533000000000001</v>
      </c>
      <c r="AB39" s="11">
        <f t="shared" si="6"/>
        <v>70.516999999999996</v>
      </c>
      <c r="AC39" s="11">
        <f t="shared" si="6"/>
        <v>41.092500000000001</v>
      </c>
      <c r="AD39" s="11">
        <f t="shared" si="6"/>
        <v>36.201300000000003</v>
      </c>
      <c r="AE39" s="11">
        <f t="shared" si="6"/>
        <v>63.453000000000003</v>
      </c>
      <c r="AF39" s="11">
        <f t="shared" si="6"/>
        <v>57.500700000000002</v>
      </c>
      <c r="AG39" s="11">
        <f t="shared" si="6"/>
        <v>57.032300000000006</v>
      </c>
      <c r="AH39" s="11">
        <f t="shared" si="6"/>
        <v>49.916300000000007</v>
      </c>
      <c r="AI39" s="11">
        <f t="shared" si="6"/>
        <v>64.800700000000006</v>
      </c>
      <c r="AJ39" s="11">
        <f t="shared" si="6"/>
        <v>64.804000000000002</v>
      </c>
      <c r="AK39" s="11">
        <f t="shared" si="6"/>
        <v>64.566000000000003</v>
      </c>
      <c r="AL39" s="11">
        <f t="shared" si="6"/>
        <v>80.467999999999989</v>
      </c>
      <c r="AM39" s="11">
        <f t="shared" si="6"/>
        <v>48.900000000000006</v>
      </c>
      <c r="AN39" s="11">
        <f t="shared" si="6"/>
        <v>71.321999999999989</v>
      </c>
      <c r="AO39" s="11">
        <f t="shared" si="6"/>
        <v>71.13130000000001</v>
      </c>
      <c r="AP39" s="11">
        <f t="shared" si="6"/>
        <v>61.583000000000006</v>
      </c>
      <c r="AQ39" s="11">
        <f t="shared" si="6"/>
        <v>46.183399999999999</v>
      </c>
      <c r="AR39" s="11">
        <f t="shared" si="6"/>
        <v>42.018000000000001</v>
      </c>
      <c r="AS39" s="11">
        <f t="shared" si="6"/>
        <v>79.229500000000002</v>
      </c>
      <c r="AT39" s="11">
        <f t="shared" si="6"/>
        <v>54.149999999999991</v>
      </c>
      <c r="AU39" s="11">
        <f t="shared" si="6"/>
        <v>55.582999999999998</v>
      </c>
      <c r="AV39" s="11">
        <f t="shared" si="6"/>
        <v>54.740299999999998</v>
      </c>
      <c r="AW39" s="11">
        <f t="shared" si="6"/>
        <v>81.401299999999992</v>
      </c>
      <c r="AX39" s="11">
        <f t="shared" si="6"/>
        <v>79.084000000000003</v>
      </c>
      <c r="AY39" s="11">
        <f t="shared" si="6"/>
        <v>43.399000000000001</v>
      </c>
      <c r="AZ39" s="11">
        <f t="shared" si="6"/>
        <v>61.681700000000006</v>
      </c>
      <c r="BA39" s="11">
        <f t="shared" si="6"/>
        <v>76.699299999999994</v>
      </c>
      <c r="BB39" s="11">
        <f t="shared" si="6"/>
        <v>47.850000000000009</v>
      </c>
      <c r="BC39" s="11">
        <f t="shared" si="6"/>
        <v>61.932700000000004</v>
      </c>
      <c r="BD39" s="11">
        <f t="shared" si="6"/>
        <v>61.565999999999995</v>
      </c>
      <c r="BE39" s="11">
        <f t="shared" si="6"/>
        <v>56.132599999999996</v>
      </c>
      <c r="BF39" s="11">
        <f t="shared" si="6"/>
        <v>47.650000000000006</v>
      </c>
      <c r="BG39" s="11">
        <f t="shared" si="6"/>
        <v>54.143199999999993</v>
      </c>
      <c r="BH39" s="11">
        <f t="shared" si="6"/>
        <v>54.3</v>
      </c>
      <c r="BI39" s="11">
        <f t="shared" si="6"/>
        <v>35.893299999999996</v>
      </c>
      <c r="BJ39" s="11">
        <f t="shared" si="6"/>
        <v>52.817</v>
      </c>
      <c r="BK39" s="11">
        <f t="shared" si="6"/>
        <v>25.183</v>
      </c>
      <c r="BL39" s="11">
        <f t="shared" si="6"/>
        <v>60.895499999999998</v>
      </c>
      <c r="BM39" s="11">
        <f t="shared" si="6"/>
        <v>29.333300000000001</v>
      </c>
      <c r="BN39" s="11">
        <f t="shared" si="6"/>
        <v>73.105699999999999</v>
      </c>
      <c r="BO39" s="11">
        <f t="shared" si="6"/>
        <v>58.016300000000001</v>
      </c>
      <c r="BP39" s="11">
        <f t="shared" si="6"/>
        <v>93.847000000000008</v>
      </c>
      <c r="BQ39" s="11">
        <f t="shared" ref="BQ39:CM39" si="7">BQ36+BQ37</f>
        <v>37</v>
      </c>
      <c r="BR39" s="11">
        <f t="shared" si="7"/>
        <v>48.78370000000001</v>
      </c>
      <c r="BS39" s="11">
        <f t="shared" si="7"/>
        <v>53.841699999999989</v>
      </c>
      <c r="BT39" s="11">
        <f t="shared" si="7"/>
        <v>59.05</v>
      </c>
      <c r="BU39" s="11">
        <f t="shared" si="7"/>
        <v>82.999300000000005</v>
      </c>
      <c r="BV39" s="11">
        <f t="shared" si="7"/>
        <v>69.300300000000007</v>
      </c>
      <c r="BW39" s="11">
        <f t="shared" si="7"/>
        <v>66.10029999999999</v>
      </c>
      <c r="BX39" s="11">
        <f t="shared" si="7"/>
        <v>32.9</v>
      </c>
      <c r="BY39" s="11">
        <f t="shared" si="7"/>
        <v>24.100300000000004</v>
      </c>
      <c r="BZ39" s="11">
        <f t="shared" si="7"/>
        <v>53.815700000000007</v>
      </c>
      <c r="CA39" s="11">
        <f t="shared" si="7"/>
        <v>19.816699999999997</v>
      </c>
      <c r="CB39" s="11">
        <f t="shared" si="7"/>
        <v>82.15</v>
      </c>
      <c r="CC39" s="11">
        <f t="shared" si="7"/>
        <v>65.984000000000009</v>
      </c>
      <c r="CD39" s="11">
        <f t="shared" si="7"/>
        <v>50.569000000000003</v>
      </c>
      <c r="CE39" s="11">
        <f t="shared" si="7"/>
        <v>17.433</v>
      </c>
      <c r="CF39" s="11">
        <f t="shared" si="7"/>
        <v>38.099299999999999</v>
      </c>
      <c r="CG39" s="11">
        <f t="shared" si="7"/>
        <v>76.700299999999999</v>
      </c>
      <c r="CH39" s="11">
        <f t="shared" si="7"/>
        <v>71.432999999999993</v>
      </c>
      <c r="CI39" s="11">
        <f t="shared" si="7"/>
        <v>85.5</v>
      </c>
      <c r="CJ39" s="11">
        <f t="shared" si="7"/>
        <v>51.633000000000003</v>
      </c>
      <c r="CK39" s="11">
        <f t="shared" si="7"/>
        <v>76</v>
      </c>
      <c r="CL39" s="11">
        <f t="shared" si="7"/>
        <v>82.367499999999993</v>
      </c>
      <c r="CM39" s="11">
        <f t="shared" si="7"/>
        <v>57.281999999999996</v>
      </c>
      <c r="CN39" s="9"/>
      <c r="CO39" s="9"/>
      <c r="CP39" s="9"/>
      <c r="CQ39" s="9"/>
      <c r="CR39" s="9"/>
      <c r="CS39" s="9"/>
      <c r="CT39" s="9"/>
    </row>
    <row r="41" spans="2:98" x14ac:dyDescent="0.25">
      <c r="B41" s="15"/>
      <c r="C41" s="6" t="s">
        <v>70</v>
      </c>
      <c r="D41" t="str">
        <f>'Data For Analysis'!D37</f>
        <v>Large</v>
      </c>
      <c r="E41" t="str">
        <f>'Data For Analysis'!E37</f>
        <v>Large</v>
      </c>
      <c r="F41" t="str">
        <f>'Data For Analysis'!F37</f>
        <v>Medium</v>
      </c>
      <c r="G41" t="str">
        <f>'Data For Analysis'!G37</f>
        <v>Large</v>
      </c>
      <c r="H41" t="str">
        <f>'Data For Analysis'!H37</f>
        <v>Small</v>
      </c>
      <c r="I41" t="str">
        <f>'Data For Analysis'!I37</f>
        <v>Large</v>
      </c>
      <c r="J41" t="str">
        <f>'Data For Analysis'!J37</f>
        <v>Small</v>
      </c>
      <c r="K41" t="str">
        <f>'Data For Analysis'!K37</f>
        <v>Medium</v>
      </c>
      <c r="L41" t="str">
        <f>'Data For Analysis'!L37</f>
        <v>Small</v>
      </c>
      <c r="M41" t="str">
        <f>'Data For Analysis'!M37</f>
        <v>Medium</v>
      </c>
      <c r="N41" t="str">
        <f>'Data For Analysis'!N37</f>
        <v>Small</v>
      </c>
      <c r="O41" t="str">
        <f>'Data For Analysis'!O37</f>
        <v>Medium</v>
      </c>
      <c r="P41" t="str">
        <f>'Data For Analysis'!P37</f>
        <v>Large</v>
      </c>
      <c r="Q41" t="str">
        <f>'Data For Analysis'!Q37</f>
        <v>Large</v>
      </c>
      <c r="R41" t="str">
        <f>'Data For Analysis'!R37</f>
        <v>Medium</v>
      </c>
      <c r="S41" t="str">
        <f>'Data For Analysis'!S37</f>
        <v>Small</v>
      </c>
      <c r="T41" t="str">
        <f>'Data For Analysis'!T37</f>
        <v>Medium</v>
      </c>
      <c r="U41" t="str">
        <f>'Data For Analysis'!U37</f>
        <v>Small</v>
      </c>
      <c r="V41" t="str">
        <f>'Data For Analysis'!V37</f>
        <v>Medium</v>
      </c>
      <c r="W41" t="str">
        <f>'Data For Analysis'!W37</f>
        <v>Medium</v>
      </c>
      <c r="X41" t="str">
        <f>'Data For Analysis'!X37</f>
        <v>Medium</v>
      </c>
      <c r="Y41" t="str">
        <f>'Data For Analysis'!Y37</f>
        <v>Large</v>
      </c>
      <c r="Z41" t="str">
        <f>'Data For Analysis'!Z37</f>
        <v>Large</v>
      </c>
      <c r="AA41" t="str">
        <f>'Data For Analysis'!AA37</f>
        <v>Small</v>
      </c>
      <c r="AB41" t="str">
        <f>'Data For Analysis'!AB37</f>
        <v>Medium</v>
      </c>
      <c r="AC41" t="str">
        <f>'Data For Analysis'!AC37</f>
        <v>Small</v>
      </c>
      <c r="AD41" t="str">
        <f>'Data For Analysis'!AD37</f>
        <v>Small</v>
      </c>
      <c r="AE41" t="str">
        <f>'Data For Analysis'!AE37</f>
        <v>Large</v>
      </c>
      <c r="AF41" t="str">
        <f>'Data For Analysis'!AF37</f>
        <v>Large</v>
      </c>
      <c r="AG41" t="str">
        <f>'Data For Analysis'!AG37</f>
        <v>Large</v>
      </c>
      <c r="AH41" t="str">
        <f>'Data For Analysis'!AH37</f>
        <v>Small</v>
      </c>
      <c r="AI41" t="str">
        <f>'Data For Analysis'!AI37</f>
        <v>Small</v>
      </c>
      <c r="AJ41" t="str">
        <f>'Data For Analysis'!AJ37</f>
        <v>Large</v>
      </c>
      <c r="AK41" t="str">
        <f>'Data For Analysis'!AK37</f>
        <v>Large</v>
      </c>
      <c r="AL41" t="str">
        <f>'Data For Analysis'!AL37</f>
        <v>Medium</v>
      </c>
      <c r="AM41" t="str">
        <f>'Data For Analysis'!AM37</f>
        <v>Large</v>
      </c>
      <c r="AN41" t="str">
        <f>'Data For Analysis'!AN37</f>
        <v>Small</v>
      </c>
      <c r="AO41" t="str">
        <f>'Data For Analysis'!AO37</f>
        <v>Small</v>
      </c>
      <c r="AP41" t="str">
        <f>'Data For Analysis'!AP37</f>
        <v>Medium</v>
      </c>
      <c r="AQ41" t="str">
        <f>'Data For Analysis'!AQ37</f>
        <v>Medium</v>
      </c>
      <c r="AR41" t="str">
        <f>'Data For Analysis'!AR37</f>
        <v>Large</v>
      </c>
      <c r="AS41" t="str">
        <f>'Data For Analysis'!AS37</f>
        <v>Medium</v>
      </c>
      <c r="AT41" t="str">
        <f>'Data For Analysis'!AT37</f>
        <v>Large</v>
      </c>
      <c r="AU41" t="str">
        <f>'Data For Analysis'!AU37</f>
        <v>Large</v>
      </c>
      <c r="AV41" t="str">
        <f>'Data For Analysis'!AV37</f>
        <v>Small</v>
      </c>
      <c r="AW41" t="str">
        <f>'Data For Analysis'!AW37</f>
        <v>Medium</v>
      </c>
      <c r="AX41" t="str">
        <f>'Data For Analysis'!AX37</f>
        <v>Large</v>
      </c>
      <c r="AY41" t="str">
        <f>'Data For Analysis'!AY37</f>
        <v>Medium</v>
      </c>
      <c r="AZ41" t="str">
        <f>'Data For Analysis'!AZ37</f>
        <v>Large</v>
      </c>
      <c r="BA41" t="str">
        <f>'Data For Analysis'!BA37</f>
        <v>Large</v>
      </c>
      <c r="BB41" t="str">
        <f>'Data For Analysis'!BB37</f>
        <v/>
      </c>
      <c r="BC41" t="str">
        <f>'Data For Analysis'!BC37</f>
        <v>Large</v>
      </c>
      <c r="BD41" t="str">
        <f>'Data For Analysis'!BD37</f>
        <v>Large</v>
      </c>
      <c r="BE41" t="str">
        <f>'Data For Analysis'!BE37</f>
        <v>Large</v>
      </c>
      <c r="BF41" t="str">
        <f>'Data For Analysis'!BF37</f>
        <v>Large</v>
      </c>
      <c r="BG41" t="str">
        <f>'Data For Analysis'!BG37</f>
        <v>Small</v>
      </c>
      <c r="BH41" t="str">
        <f>'Data For Analysis'!BH37</f>
        <v>Medium</v>
      </c>
      <c r="BI41" t="str">
        <f>'Data For Analysis'!BI37</f>
        <v>Medium</v>
      </c>
      <c r="BJ41" t="str">
        <f>'Data For Analysis'!BJ37</f>
        <v>Small</v>
      </c>
      <c r="BK41" t="str">
        <f>'Data For Analysis'!BK37</f>
        <v>Small</v>
      </c>
      <c r="BL41" t="str">
        <f>'Data For Analysis'!BL37</f>
        <v>Large</v>
      </c>
      <c r="BM41" t="str">
        <f>'Data For Analysis'!BM37</f>
        <v>Medium</v>
      </c>
      <c r="BN41" t="str">
        <f>'Data For Analysis'!BN37</f>
        <v>Small</v>
      </c>
      <c r="BO41" t="str">
        <f>'Data For Analysis'!BO37</f>
        <v>Medium</v>
      </c>
      <c r="BP41" t="str">
        <f>'Data For Analysis'!BP37</f>
        <v>Large</v>
      </c>
      <c r="BQ41" t="str">
        <f>'Data For Analysis'!BQ37</f>
        <v>Large</v>
      </c>
      <c r="BR41" t="str">
        <f>'Data For Analysis'!BR37</f>
        <v>Small</v>
      </c>
      <c r="BS41" t="str">
        <f>'Data For Analysis'!BS37</f>
        <v>Medium</v>
      </c>
      <c r="BT41" t="str">
        <f>'Data For Analysis'!BT37</f>
        <v/>
      </c>
      <c r="BU41" t="str">
        <f>'Data For Analysis'!BU37</f>
        <v>Large</v>
      </c>
      <c r="BV41" t="str">
        <f>'Data For Analysis'!BV37</f>
        <v>Medium</v>
      </c>
      <c r="BW41" t="str">
        <f>'Data For Analysis'!BW37</f>
        <v>Medium</v>
      </c>
      <c r="BX41" t="str">
        <f>'Data For Analysis'!BX37</f>
        <v>Medium</v>
      </c>
      <c r="BY41" t="str">
        <f>'Data For Analysis'!BY37</f>
        <v>Medium</v>
      </c>
      <c r="BZ41" t="str">
        <f>'Data For Analysis'!BZ37</f>
        <v>Large</v>
      </c>
      <c r="CA41" t="str">
        <f>'Data For Analysis'!CA37</f>
        <v>Small</v>
      </c>
      <c r="CB41" t="str">
        <f>'Data For Analysis'!CB37</f>
        <v>Small</v>
      </c>
      <c r="CC41" t="str">
        <f>'Data For Analysis'!CC37</f>
        <v>Medium</v>
      </c>
      <c r="CD41" t="str">
        <f>'Data For Analysis'!CD37</f>
        <v>Large</v>
      </c>
      <c r="CE41" t="str">
        <f>'Data For Analysis'!CE37</f>
        <v>Large</v>
      </c>
      <c r="CF41" t="str">
        <f>'Data For Analysis'!CF37</f>
        <v>Small</v>
      </c>
      <c r="CG41" t="str">
        <f>'Data For Analysis'!CG37</f>
        <v>Large</v>
      </c>
      <c r="CH41" t="str">
        <f>'Data For Analysis'!CH37</f>
        <v>Medium</v>
      </c>
      <c r="CI41" t="str">
        <f>'Data For Analysis'!CI37</f>
        <v>Large</v>
      </c>
      <c r="CJ41" t="str">
        <f>'Data For Analysis'!CJ37</f>
        <v>Small</v>
      </c>
      <c r="CK41" t="str">
        <f>'Data For Analysis'!CK37</f>
        <v>Small</v>
      </c>
      <c r="CL41" t="str">
        <f>'Data For Analysis'!CL37</f>
        <v>Medium</v>
      </c>
      <c r="CM41" t="str">
        <f>'Data For Analysis'!CM37</f>
        <v>Medium</v>
      </c>
    </row>
  </sheetData>
  <autoFilter ref="B1:BX39"/>
  <sortState columnSort="1" ref="C1:CL39">
    <sortCondition ref="C1:CL1"/>
  </sortState>
  <mergeCells count="1">
    <mergeCell ref="A2:A17"/>
  </mergeCells>
  <pageMargins left="0.7" right="0.7" top="0.75" bottom="0.75" header="0.3" footer="0.3"/>
  <pageSetup orientation="portrait" horizontalDpi="300" verticalDpi="300"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Q105"/>
  <sheetViews>
    <sheetView zoomScale="90" zoomScaleNormal="90" workbookViewId="0">
      <selection activeCell="B28" sqref="B28"/>
    </sheetView>
  </sheetViews>
  <sheetFormatPr defaultRowHeight="15" x14ac:dyDescent="0.25"/>
  <cols>
    <col min="1" max="1" width="25.140625" customWidth="1"/>
    <col min="2" max="2" width="21.28515625" style="1" bestFit="1" customWidth="1"/>
    <col min="3" max="3" width="12" customWidth="1"/>
    <col min="4" max="4" width="20.5703125" bestFit="1" customWidth="1"/>
    <col min="5" max="5" width="12" bestFit="1" customWidth="1"/>
    <col min="6" max="6" width="20.5703125" bestFit="1" customWidth="1"/>
    <col min="7" max="7" width="10.140625" bestFit="1" customWidth="1"/>
    <col min="8" max="9" width="20.5703125" bestFit="1" customWidth="1"/>
    <col min="10" max="10" width="12" bestFit="1" customWidth="1"/>
    <col min="11" max="11" width="18.140625" bestFit="1" customWidth="1"/>
    <col min="13" max="13" width="18.140625" bestFit="1" customWidth="1"/>
    <col min="14" max="14" width="12" bestFit="1" customWidth="1"/>
    <col min="16" max="16" width="18.140625" bestFit="1" customWidth="1"/>
    <col min="17" max="17" width="12.7109375" bestFit="1" customWidth="1"/>
    <col min="18" max="18" width="18.140625" bestFit="1" customWidth="1"/>
    <col min="19" max="19" width="12.7109375" bestFit="1" customWidth="1"/>
    <col min="20" max="20" width="18.140625" bestFit="1" customWidth="1"/>
    <col min="21" max="21" width="12.7109375" bestFit="1" customWidth="1"/>
    <col min="22" max="22" width="18.140625" bestFit="1" customWidth="1"/>
    <col min="23" max="23" width="12.7109375" bestFit="1" customWidth="1"/>
    <col min="24" max="24" width="18.140625" bestFit="1" customWidth="1"/>
    <col min="25" max="25" width="12" bestFit="1" customWidth="1"/>
    <col min="26" max="26" width="18.140625" bestFit="1" customWidth="1"/>
    <col min="27" max="27" width="12" bestFit="1" customWidth="1"/>
  </cols>
  <sheetData>
    <row r="1" spans="1:92" ht="15" customHeight="1" x14ac:dyDescent="0.25">
      <c r="A1" s="344" t="s">
        <v>359</v>
      </c>
      <c r="B1" s="6" t="s">
        <v>2</v>
      </c>
      <c r="C1" s="12" t="str">
        <f>'Task Durations'!D1</f>
        <v>001-13</v>
      </c>
      <c r="D1" s="12" t="str">
        <f>'Task Durations'!E1</f>
        <v>002-13</v>
      </c>
      <c r="E1" s="12" t="str">
        <f>'Task Durations'!F1</f>
        <v>003-13</v>
      </c>
      <c r="F1" s="12" t="str">
        <f>'Task Durations'!G1</f>
        <v>004-13</v>
      </c>
      <c r="G1" s="12" t="str">
        <f>'Task Durations'!H1</f>
        <v>005-13</v>
      </c>
      <c r="H1" s="12" t="str">
        <f>'Task Durations'!I1</f>
        <v>006-13</v>
      </c>
      <c r="I1" s="12" t="str">
        <f>'Task Durations'!J1</f>
        <v>007-13</v>
      </c>
      <c r="J1" s="12" t="str">
        <f>'Task Durations'!K1</f>
        <v>008-13</v>
      </c>
      <c r="K1" s="12" t="str">
        <f>'Task Durations'!L1</f>
        <v>009-13</v>
      </c>
      <c r="L1" s="12" t="str">
        <f>'Task Durations'!M1</f>
        <v>010-13</v>
      </c>
      <c r="M1" s="12" t="str">
        <f>'Task Durations'!N1</f>
        <v>011-13</v>
      </c>
      <c r="N1" s="12" t="str">
        <f>'Task Durations'!O1</f>
        <v>012-13</v>
      </c>
      <c r="O1" s="12" t="str">
        <f>'Task Durations'!P1</f>
        <v>013-13</v>
      </c>
      <c r="P1" s="12" t="str">
        <f>'Task Durations'!Q1</f>
        <v>014-13</v>
      </c>
      <c r="Q1" s="12" t="str">
        <f>'Task Durations'!R1</f>
        <v>015-13</v>
      </c>
      <c r="R1" s="12" t="str">
        <f>'Task Durations'!S1</f>
        <v>017-13</v>
      </c>
      <c r="S1" s="12" t="str">
        <f>'Task Durations'!T1</f>
        <v>018-13</v>
      </c>
      <c r="T1" s="12" t="str">
        <f>'Task Durations'!U1</f>
        <v>019-13</v>
      </c>
      <c r="U1" s="12" t="str">
        <f>'Task Durations'!V1</f>
        <v>020-13</v>
      </c>
      <c r="V1" s="12" t="str">
        <f>'Task Durations'!W1</f>
        <v>021-13</v>
      </c>
      <c r="W1" s="12" t="str">
        <f>'Task Durations'!X1</f>
        <v>022-13</v>
      </c>
      <c r="X1" s="12" t="str">
        <f>'Task Durations'!Y1</f>
        <v>023-13</v>
      </c>
      <c r="Y1" s="12" t="str">
        <f>'Task Durations'!Z1</f>
        <v>024-13</v>
      </c>
      <c r="Z1" s="12" t="str">
        <f>'Task Durations'!AA1</f>
        <v>026-13</v>
      </c>
      <c r="AA1" s="12" t="str">
        <f>'Task Durations'!AB1</f>
        <v>027-13</v>
      </c>
      <c r="AB1" s="12" t="str">
        <f>'Task Durations'!AC1</f>
        <v>028-13</v>
      </c>
      <c r="AC1" s="12" t="str">
        <f>'Task Durations'!AD1</f>
        <v>029-13</v>
      </c>
      <c r="AD1" s="12" t="str">
        <f>'Task Durations'!AE1</f>
        <v>030-13</v>
      </c>
      <c r="AE1" s="12" t="str">
        <f>'Task Durations'!AF1</f>
        <v>031-13</v>
      </c>
      <c r="AF1" s="12" t="str">
        <f>'Task Durations'!AG1</f>
        <v>032-13</v>
      </c>
      <c r="AG1" s="12" t="str">
        <f>'Task Durations'!AH1</f>
        <v>033-13</v>
      </c>
      <c r="AH1" s="12" t="str">
        <f>'Task Durations'!AI1</f>
        <v>034-13</v>
      </c>
      <c r="AI1" s="12" t="str">
        <f>'Task Durations'!AJ1</f>
        <v>035-13</v>
      </c>
      <c r="AJ1" s="12" t="str">
        <f>'Task Durations'!AK1</f>
        <v>036-13</v>
      </c>
      <c r="AK1" s="12" t="str">
        <f>'Task Durations'!AL1</f>
        <v>037-13</v>
      </c>
      <c r="AL1" s="12" t="str">
        <f>'Task Durations'!AM1</f>
        <v>038-13</v>
      </c>
      <c r="AM1" s="12" t="str">
        <f>'Task Durations'!AN1</f>
        <v>039-13</v>
      </c>
      <c r="AN1" s="12" t="str">
        <f>'Task Durations'!AO1</f>
        <v>040-13</v>
      </c>
      <c r="AO1" s="12" t="str">
        <f>'Task Durations'!AP1</f>
        <v>041-13</v>
      </c>
      <c r="AP1" s="12" t="str">
        <f>'Task Durations'!AQ1</f>
        <v>042-13</v>
      </c>
      <c r="AQ1" s="12" t="str">
        <f>'Task Durations'!AR1</f>
        <v>043-13</v>
      </c>
      <c r="AR1" s="12" t="str">
        <f>'Task Durations'!AS1</f>
        <v>045-13</v>
      </c>
      <c r="AS1" s="12" t="str">
        <f>'Task Durations'!AT1</f>
        <v>046-13</v>
      </c>
      <c r="AT1" s="12" t="str">
        <f>'Task Durations'!AU1</f>
        <v>047-13</v>
      </c>
      <c r="AU1" s="12" t="str">
        <f>'Task Durations'!AV1</f>
        <v>048-13</v>
      </c>
      <c r="AV1" s="12" t="str">
        <f>'Task Durations'!AW1</f>
        <v>049-13</v>
      </c>
      <c r="AW1" s="12" t="str">
        <f>'Task Durations'!AX1</f>
        <v>050-13</v>
      </c>
      <c r="AX1" s="12" t="str">
        <f>'Task Durations'!AY1</f>
        <v>052-13</v>
      </c>
      <c r="AY1" s="12" t="str">
        <f>'Task Durations'!AZ1</f>
        <v>053-13</v>
      </c>
      <c r="AZ1" s="12" t="str">
        <f>'Task Durations'!BA1</f>
        <v>054-13</v>
      </c>
      <c r="BA1" s="12" t="str">
        <f>'Task Durations'!BB1</f>
        <v>055-13</v>
      </c>
      <c r="BB1" s="12" t="str">
        <f>'Task Durations'!BC1</f>
        <v>057-13</v>
      </c>
      <c r="BC1" s="12" t="str">
        <f>'Task Durations'!BD1</f>
        <v>058-13</v>
      </c>
      <c r="BD1" s="12" t="str">
        <f>'Task Durations'!BE1</f>
        <v>059-13</v>
      </c>
      <c r="BE1" s="12" t="str">
        <f>'Task Durations'!BF1</f>
        <v>060-13</v>
      </c>
      <c r="BF1" s="12" t="str">
        <f>'Task Durations'!BG1</f>
        <v>061-13</v>
      </c>
      <c r="BG1" s="12" t="str">
        <f>'Task Durations'!BH1</f>
        <v>062-13</v>
      </c>
      <c r="BH1" s="12" t="str">
        <f>'Task Durations'!BI1</f>
        <v>063-13</v>
      </c>
      <c r="BI1" s="12" t="str">
        <f>'Task Durations'!BJ1</f>
        <v>064-13</v>
      </c>
      <c r="BJ1" s="12" t="str">
        <f>'Task Durations'!BK1</f>
        <v>065-13</v>
      </c>
      <c r="BK1" s="12" t="str">
        <f>'Task Durations'!BL1</f>
        <v>067-13</v>
      </c>
      <c r="BL1" s="12" t="str">
        <f>'Task Durations'!BM1</f>
        <v>068-13</v>
      </c>
      <c r="BM1" s="12" t="str">
        <f>'Task Durations'!BN1</f>
        <v>069-13</v>
      </c>
      <c r="BN1" s="12" t="str">
        <f>'Task Durations'!BO1</f>
        <v>070-13</v>
      </c>
      <c r="BO1" s="12" t="str">
        <f>'Task Durations'!BP1</f>
        <v>071-13</v>
      </c>
      <c r="BP1" s="12" t="str">
        <f>'Task Durations'!BQ1</f>
        <v>072-13</v>
      </c>
      <c r="BQ1" s="12" t="str">
        <f>'Task Durations'!BR1</f>
        <v>073-13</v>
      </c>
      <c r="BR1" s="12" t="str">
        <f>'Task Durations'!BS1</f>
        <v>074-13</v>
      </c>
      <c r="BS1" s="12" t="str">
        <f>'Task Durations'!BT1</f>
        <v>075-13</v>
      </c>
      <c r="BT1" s="12" t="str">
        <f>'Task Durations'!BU1</f>
        <v>076-13</v>
      </c>
      <c r="BU1" s="12" t="str">
        <f>'Task Durations'!BV1</f>
        <v>077-13</v>
      </c>
      <c r="BV1" s="12" t="str">
        <f>'Task Durations'!BW1</f>
        <v>078-13</v>
      </c>
      <c r="BW1" s="12" t="str">
        <f>'Task Durations'!BX1</f>
        <v>079-13</v>
      </c>
      <c r="BX1" s="12" t="str">
        <f>'Task Durations'!BY1</f>
        <v>080-13</v>
      </c>
      <c r="BY1" s="12" t="str">
        <f>'Task Durations'!BZ1</f>
        <v>081-13</v>
      </c>
      <c r="BZ1" s="12" t="str">
        <f>'Task Durations'!CA1</f>
        <v>082-13</v>
      </c>
      <c r="CA1" s="12" t="str">
        <f>'Task Durations'!CB1</f>
        <v>083-13</v>
      </c>
      <c r="CB1" s="12" t="str">
        <f>'Task Durations'!CC1</f>
        <v>084-13</v>
      </c>
      <c r="CC1" s="12" t="str">
        <f>'Task Durations'!CD1</f>
        <v>085-13</v>
      </c>
      <c r="CD1" s="12" t="str">
        <f>'Task Durations'!CE1</f>
        <v>086-13</v>
      </c>
      <c r="CE1" s="12" t="str">
        <f>'Task Durations'!CF1</f>
        <v>087-13</v>
      </c>
      <c r="CF1" s="12" t="str">
        <f>'Task Durations'!CG1</f>
        <v>088-13</v>
      </c>
      <c r="CG1" s="12" t="str">
        <f>'Task Durations'!CH1</f>
        <v>089-13</v>
      </c>
      <c r="CH1" s="12" t="str">
        <f>'Task Durations'!CI1</f>
        <v>090-13</v>
      </c>
      <c r="CI1" s="12" t="str">
        <f>'Task Durations'!CJ1</f>
        <v>091-13</v>
      </c>
      <c r="CJ1" s="12" t="str">
        <f>'Task Durations'!CK1</f>
        <v>092-13</v>
      </c>
      <c r="CK1" s="12" t="str">
        <f>'Task Durations'!CL1</f>
        <v>093-13</v>
      </c>
      <c r="CL1" s="12" t="str">
        <f>'Task Durations'!CM1</f>
        <v>094-13</v>
      </c>
      <c r="CM1" s="12"/>
      <c r="CN1" s="12"/>
    </row>
    <row r="2" spans="1:92" x14ac:dyDescent="0.25">
      <c r="A2" s="345"/>
      <c r="B2" s="13" t="s">
        <v>11</v>
      </c>
      <c r="C2" s="27">
        <f>'Task Durations'!D9</f>
        <v>35000</v>
      </c>
      <c r="D2" s="27">
        <f>'Task Durations'!E9</f>
        <v>61000</v>
      </c>
      <c r="E2" s="27">
        <f>'Task Durations'!F9</f>
        <v>14000</v>
      </c>
      <c r="F2" s="27">
        <f>'Task Durations'!G9</f>
        <v>170000</v>
      </c>
      <c r="G2" s="27">
        <f>'Task Durations'!H9</f>
        <v>4750</v>
      </c>
      <c r="H2" s="27">
        <f>'Task Durations'!I9</f>
        <v>118000</v>
      </c>
      <c r="I2" s="27">
        <f>'Task Durations'!J9</f>
        <v>3880</v>
      </c>
      <c r="J2" s="27">
        <f>'Task Durations'!K9</f>
        <v>7000</v>
      </c>
      <c r="K2" s="27">
        <f>'Task Durations'!L9</f>
        <v>2400</v>
      </c>
      <c r="L2" s="27">
        <f>'Task Durations'!M9</f>
        <v>7764</v>
      </c>
      <c r="M2" s="27">
        <f>'Task Durations'!N9</f>
        <v>3450</v>
      </c>
      <c r="N2" s="27">
        <f>'Task Durations'!O9</f>
        <v>6000</v>
      </c>
      <c r="O2" s="27">
        <f>'Task Durations'!P9</f>
        <v>223200</v>
      </c>
      <c r="P2" s="27">
        <f>'Task Durations'!Q9</f>
        <v>45000</v>
      </c>
      <c r="Q2" s="27">
        <f>'Task Durations'!R9</f>
        <v>16000</v>
      </c>
      <c r="R2" s="27">
        <f>'Task Durations'!S9</f>
        <v>1000</v>
      </c>
      <c r="S2" s="27">
        <f>'Task Durations'!T9</f>
        <v>7000</v>
      </c>
      <c r="T2" s="27">
        <f>'Task Durations'!U9</f>
        <v>2500</v>
      </c>
      <c r="U2" s="27">
        <f>'Task Durations'!V9</f>
        <v>20000</v>
      </c>
      <c r="V2" s="27">
        <f>'Task Durations'!W9</f>
        <v>29568</v>
      </c>
      <c r="W2" s="27">
        <f>'Task Durations'!X9</f>
        <v>10000</v>
      </c>
      <c r="X2" s="27">
        <f>'Task Durations'!Y9</f>
        <v>566670</v>
      </c>
      <c r="Y2" s="27">
        <f>'Task Durations'!Z9</f>
        <v>500000</v>
      </c>
      <c r="Z2" s="27">
        <f>'Task Durations'!AA9</f>
        <v>3600</v>
      </c>
      <c r="AA2" s="27">
        <f>'Task Durations'!AB9</f>
        <v>11579</v>
      </c>
      <c r="AB2" s="27">
        <f>'Task Durations'!AC9</f>
        <v>3821</v>
      </c>
      <c r="AC2" s="27">
        <f>'Task Durations'!AD9</f>
        <v>3328</v>
      </c>
      <c r="AD2" s="27">
        <f>'Task Durations'!AE9</f>
        <v>268000</v>
      </c>
      <c r="AE2" s="27">
        <f>'Task Durations'!AF9</f>
        <v>121200</v>
      </c>
      <c r="AF2" s="27">
        <f>'Task Durations'!AG9</f>
        <v>524000</v>
      </c>
      <c r="AG2" s="27">
        <f>'Task Durations'!AH9</f>
        <v>3200</v>
      </c>
      <c r="AH2" s="27">
        <f>'Task Durations'!AI9</f>
        <v>300</v>
      </c>
      <c r="AI2" s="27">
        <f>'Task Durations'!AJ9</f>
        <v>143220</v>
      </c>
      <c r="AJ2" s="27">
        <f>'Task Durations'!AK9</f>
        <v>750000</v>
      </c>
      <c r="AK2" s="27">
        <f>'Task Durations'!AL9</f>
        <v>18500</v>
      </c>
      <c r="AL2" s="27">
        <f>'Task Durations'!AM9</f>
        <v>54000</v>
      </c>
      <c r="AM2" s="27">
        <f>'Task Durations'!AN9</f>
        <v>2850</v>
      </c>
      <c r="AN2" s="27">
        <f>'Task Durations'!AO9</f>
        <v>3225</v>
      </c>
      <c r="AO2" s="27">
        <f>'Task Durations'!AP9</f>
        <v>9800</v>
      </c>
      <c r="AP2" s="27">
        <f>'Task Durations'!AQ9</f>
        <v>27958</v>
      </c>
      <c r="AQ2" s="27">
        <f>'Task Durations'!AR9</f>
        <v>738038</v>
      </c>
      <c r="AR2" s="27">
        <f>'Task Durations'!AS9</f>
        <v>11000</v>
      </c>
      <c r="AS2" s="27">
        <f>'Task Durations'!AT9</f>
        <v>153395</v>
      </c>
      <c r="AT2" s="27">
        <f>'Task Durations'!AU9</f>
        <v>688202</v>
      </c>
      <c r="AU2" s="27">
        <f>'Task Durations'!AV9</f>
        <v>4000</v>
      </c>
      <c r="AV2" s="27">
        <f>'Task Durations'!AW9</f>
        <v>9200</v>
      </c>
      <c r="AW2" s="27">
        <f>'Task Durations'!AX9</f>
        <v>380489</v>
      </c>
      <c r="AX2" s="27">
        <f>'Task Durations'!AY9</f>
        <v>22000</v>
      </c>
      <c r="AY2" s="27">
        <f>'Task Durations'!AZ9</f>
        <v>474000</v>
      </c>
      <c r="AZ2" s="27">
        <f>'Task Durations'!BA9</f>
        <v>50000</v>
      </c>
      <c r="BA2" s="27">
        <f>'Task Durations'!BB9</f>
        <v>0</v>
      </c>
      <c r="BB2" s="27">
        <f>'Task Durations'!BC9</f>
        <v>50000</v>
      </c>
      <c r="BC2" s="27">
        <f>'Task Durations'!BD9</f>
        <v>50000</v>
      </c>
      <c r="BD2" s="27">
        <f>'Task Durations'!BE9</f>
        <v>750000</v>
      </c>
      <c r="BE2" s="27">
        <f>'Task Durations'!BF9</f>
        <v>750000</v>
      </c>
      <c r="BF2" s="27">
        <f>'Task Durations'!BG9</f>
        <v>4900</v>
      </c>
      <c r="BG2" s="27">
        <f>'Task Durations'!BH9</f>
        <v>6050</v>
      </c>
      <c r="BH2" s="27">
        <f>'Task Durations'!BI9</f>
        <v>5200</v>
      </c>
      <c r="BI2" s="27">
        <f>'Task Durations'!BJ9</f>
        <v>2750</v>
      </c>
      <c r="BJ2" s="27">
        <f>'Task Durations'!BK9</f>
        <v>3000</v>
      </c>
      <c r="BK2" s="27">
        <f>'Task Durations'!BL9</f>
        <v>117000</v>
      </c>
      <c r="BL2" s="27">
        <f>'Task Durations'!BM9</f>
        <v>12220</v>
      </c>
      <c r="BM2" s="27">
        <f>'Task Durations'!BN9</f>
        <v>4800</v>
      </c>
      <c r="BN2" s="27">
        <f>'Task Durations'!BO9</f>
        <v>8000</v>
      </c>
      <c r="BO2" s="27">
        <f>'Task Durations'!BP9</f>
        <v>928300</v>
      </c>
      <c r="BP2" s="27">
        <f>'Task Durations'!BQ9</f>
        <v>825000</v>
      </c>
      <c r="BQ2" s="27">
        <f>'Task Durations'!BR9</f>
        <v>800</v>
      </c>
      <c r="BR2" s="27">
        <f>'Task Durations'!BS9</f>
        <v>25792</v>
      </c>
      <c r="BS2" s="27">
        <f>'Task Durations'!BT9</f>
        <v>0</v>
      </c>
      <c r="BT2" s="27">
        <f>'Task Durations'!BU9</f>
        <v>320964</v>
      </c>
      <c r="BU2" s="27">
        <f>'Task Durations'!BV9</f>
        <v>10520</v>
      </c>
      <c r="BV2" s="27">
        <f>'Task Durations'!BW9</f>
        <v>15000</v>
      </c>
      <c r="BW2" s="27">
        <f>'Task Durations'!BX9</f>
        <v>8860</v>
      </c>
      <c r="BX2" s="27">
        <f>'Task Durations'!BY9</f>
        <v>7021</v>
      </c>
      <c r="BY2" s="27">
        <f>'Task Durations'!BZ9</f>
        <v>40000</v>
      </c>
      <c r="BZ2" s="27">
        <f>'Task Durations'!CA9</f>
        <v>5000</v>
      </c>
      <c r="CA2" s="27">
        <f>'Task Durations'!CB9</f>
        <v>3000</v>
      </c>
      <c r="CB2" s="27">
        <f>'Task Durations'!CC9</f>
        <v>15000</v>
      </c>
      <c r="CC2" s="27">
        <f>'Task Durations'!CD9</f>
        <v>154000</v>
      </c>
      <c r="CD2" s="27">
        <f>'Task Durations'!CE9</f>
        <v>245000</v>
      </c>
      <c r="CE2" s="27">
        <f>'Task Durations'!CF9</f>
        <v>3631</v>
      </c>
      <c r="CF2" s="27">
        <f>'Task Durations'!CG9</f>
        <v>38900</v>
      </c>
      <c r="CG2" s="27">
        <f>'Task Durations'!CH9</f>
        <v>11000</v>
      </c>
      <c r="CH2" s="27">
        <f>'Task Durations'!CI9</f>
        <v>33000</v>
      </c>
      <c r="CI2" s="27">
        <f>'Task Durations'!CJ9</f>
        <v>3000</v>
      </c>
      <c r="CJ2" s="27">
        <f>'Task Durations'!CK9</f>
        <v>1800</v>
      </c>
      <c r="CK2" s="27">
        <f>'Task Durations'!CL9</f>
        <v>20000</v>
      </c>
      <c r="CL2" s="27">
        <f>'Task Durations'!CM9</f>
        <v>6935</v>
      </c>
      <c r="CM2" s="27"/>
      <c r="CN2" s="27"/>
    </row>
    <row r="3" spans="1:92" s="29" customFormat="1" x14ac:dyDescent="0.25">
      <c r="A3" s="345"/>
      <c r="B3" s="7" t="s">
        <v>70</v>
      </c>
      <c r="C3" s="201" t="str">
        <f>IF(C2&lt;&gt;"",IF(C2&gt;Constants!$F$3,"Large",IF(C2&lt;=Constants!$E$3,"Small","Medium")),"")</f>
        <v>Large</v>
      </c>
      <c r="D3" s="201" t="str">
        <f>IF(D2&lt;&gt;"",IF(D2&gt;Constants!$F$3,"Large",IF(D2&lt;=Constants!$E$3,"Small","Medium")),"")</f>
        <v>Large</v>
      </c>
      <c r="E3" s="201" t="str">
        <f>IF(E2&lt;&gt;"",IF(E2&gt;Constants!$F$3,"Large",IF(E2&lt;=Constants!$E$3,"Small","Medium")),"")</f>
        <v>Medium</v>
      </c>
      <c r="F3" s="201" t="str">
        <f>IF(F2&lt;&gt;"",IF(F2&gt;Constants!$F$3,"Large",IF(F2&lt;=Constants!$E$3,"Small","Medium")),"")</f>
        <v>Large</v>
      </c>
      <c r="G3" s="201" t="str">
        <f>IF(G2&lt;&gt;"",IF(G2&gt;Constants!$F$3,"Large",IF(G2&lt;=Constants!$E$3,"Small","Medium")),"")</f>
        <v>Small</v>
      </c>
      <c r="H3" s="201" t="str">
        <f>IF(H2&lt;&gt;"",IF(H2&gt;Constants!$F$3,"Large",IF(H2&lt;=Constants!$E$3,"Small","Medium")),"")</f>
        <v>Large</v>
      </c>
      <c r="I3" s="201" t="str">
        <f>IF(I2&lt;&gt;"",IF(I2&gt;Constants!$F$3,"Large",IF(I2&lt;=Constants!$E$3,"Small","Medium")),"")</f>
        <v>Small</v>
      </c>
      <c r="J3" s="201" t="str">
        <f>IF(J2&lt;&gt;"",IF(J2&gt;Constants!$F$3,"Large",IF(J2&lt;=Constants!$E$3,"Small","Medium")),"")</f>
        <v>Medium</v>
      </c>
      <c r="K3" s="201" t="str">
        <f>IF(K2&lt;&gt;"",IF(K2&gt;Constants!$F$3,"Large",IF(K2&lt;=Constants!$E$3,"Small","Medium")),"")</f>
        <v>Small</v>
      </c>
      <c r="L3" s="201" t="str">
        <f>IF(L2&lt;&gt;"",IF(L2&gt;Constants!$F$3,"Large",IF(L2&lt;=Constants!$E$3,"Small","Medium")),"")</f>
        <v>Medium</v>
      </c>
      <c r="M3" s="201" t="str">
        <f>IF(M2&lt;&gt;"",IF(M2&gt;Constants!$F$3,"Large",IF(M2&lt;=Constants!$E$3,"Small","Medium")),"")</f>
        <v>Small</v>
      </c>
      <c r="N3" s="201" t="str">
        <f>IF(N2&lt;&gt;"",IF(N2&gt;Constants!$F$3,"Large",IF(N2&lt;=Constants!$E$3,"Small","Medium")),"")</f>
        <v>Medium</v>
      </c>
      <c r="O3" s="201" t="str">
        <f>IF(O2&lt;&gt;"",IF(O2&gt;Constants!$F$3,"Large",IF(O2&lt;=Constants!$E$3,"Small","Medium")),"")</f>
        <v>Large</v>
      </c>
      <c r="P3" s="201" t="str">
        <f>IF(P2&lt;&gt;"",IF(P2&gt;Constants!$F$3,"Large",IF(P2&lt;=Constants!$E$3,"Small","Medium")),"")</f>
        <v>Large</v>
      </c>
      <c r="Q3" s="201" t="str">
        <f>IF(Q2&lt;&gt;"",IF(Q2&gt;Constants!$F$3,"Large",IF(Q2&lt;=Constants!$E$3,"Small","Medium")),"")</f>
        <v>Medium</v>
      </c>
      <c r="R3" s="201" t="str">
        <f>IF(R2&lt;&gt;"",IF(R2&gt;Constants!$F$3,"Large",IF(R2&lt;=Constants!$E$3,"Small","Medium")),"")</f>
        <v>Small</v>
      </c>
      <c r="S3" s="201" t="str">
        <f>IF(S2&lt;&gt;"",IF(S2&gt;Constants!$F$3,"Large",IF(S2&lt;=Constants!$E$3,"Small","Medium")),"")</f>
        <v>Medium</v>
      </c>
      <c r="T3" s="201" t="str">
        <f>IF(T2&lt;&gt;"",IF(T2&gt;Constants!$F$3,"Large",IF(T2&lt;=Constants!$E$3,"Small","Medium")),"")</f>
        <v>Small</v>
      </c>
      <c r="U3" s="201" t="str">
        <f>IF(U2&lt;&gt;"",IF(U2&gt;Constants!$F$3,"Large",IF(U2&lt;=Constants!$E$3,"Small","Medium")),"")</f>
        <v>Medium</v>
      </c>
      <c r="V3" s="201" t="str">
        <f>IF(V2&lt;&gt;"",IF(V2&gt;Constants!$F$3,"Large",IF(V2&lt;=Constants!$E$3,"Small","Medium")),"")</f>
        <v>Medium</v>
      </c>
      <c r="W3" s="201" t="str">
        <f>IF(W2&lt;&gt;"",IF(W2&gt;Constants!$F$3,"Large",IF(W2&lt;=Constants!$E$3,"Small","Medium")),"")</f>
        <v>Medium</v>
      </c>
      <c r="X3" s="201" t="str">
        <f>IF(X2&lt;&gt;"",IF(X2&gt;Constants!$F$3,"Large",IF(X2&lt;=Constants!$E$3,"Small","Medium")),"")</f>
        <v>Large</v>
      </c>
      <c r="Y3" s="201" t="str">
        <f>IF(Y2&lt;&gt;"",IF(Y2&gt;Constants!$F$3,"Large",IF(Y2&lt;=Constants!$E$3,"Small","Medium")),"")</f>
        <v>Large</v>
      </c>
      <c r="Z3" s="201" t="str">
        <f>IF(Z2&lt;&gt;"",IF(Z2&gt;Constants!$F$3,"Large",IF(Z2&lt;=Constants!$E$3,"Small","Medium")),"")</f>
        <v>Small</v>
      </c>
      <c r="AA3" s="201" t="str">
        <f>IF(AA2&lt;&gt;"",IF(AA2&gt;Constants!$F$3,"Large",IF(AA2&lt;=Constants!$E$3,"Small","Medium")),"")</f>
        <v>Medium</v>
      </c>
      <c r="AB3" s="201" t="str">
        <f>IF(AB2&lt;&gt;"",IF(AB2&gt;Constants!$F$3,"Large",IF(AB2&lt;=Constants!$E$3,"Small","Medium")),"")</f>
        <v>Small</v>
      </c>
      <c r="AC3" s="201" t="str">
        <f>IF(AC2&lt;&gt;"",IF(AC2&gt;Constants!$F$3,"Large",IF(AC2&lt;=Constants!$E$3,"Small","Medium")),"")</f>
        <v>Small</v>
      </c>
      <c r="AD3" s="201" t="str">
        <f>IF(AD2&lt;&gt;"",IF(AD2&gt;Constants!$F$3,"Large",IF(AD2&lt;=Constants!$E$3,"Small","Medium")),"")</f>
        <v>Large</v>
      </c>
      <c r="AE3" s="201" t="str">
        <f>IF(AE2&lt;&gt;"",IF(AE2&gt;Constants!$F$3,"Large",IF(AE2&lt;=Constants!$E$3,"Small","Medium")),"")</f>
        <v>Large</v>
      </c>
      <c r="AF3" s="201" t="str">
        <f>IF(AF2&lt;&gt;"",IF(AF2&gt;Constants!$F$3,"Large",IF(AF2&lt;=Constants!$E$3,"Small","Medium")),"")</f>
        <v>Large</v>
      </c>
      <c r="AG3" s="201" t="str">
        <f>IF(AG2&lt;&gt;"",IF(AG2&gt;Constants!$F$3,"Large",IF(AG2&lt;=Constants!$E$3,"Small","Medium")),"")</f>
        <v>Small</v>
      </c>
      <c r="AH3" s="201" t="str">
        <f>IF(AH2&lt;&gt;"",IF(AH2&gt;Constants!$F$3,"Large",IF(AH2&lt;=Constants!$E$3,"Small","Medium")),"")</f>
        <v>Small</v>
      </c>
      <c r="AI3" s="201" t="str">
        <f>IF(AI2&lt;&gt;"",IF(AI2&gt;Constants!$F$3,"Large",IF(AI2&lt;=Constants!$E$3,"Small","Medium")),"")</f>
        <v>Large</v>
      </c>
      <c r="AJ3" s="201" t="str">
        <f>IF(AJ2&lt;&gt;"",IF(AJ2&gt;Constants!$F$3,"Large",IF(AJ2&lt;=Constants!$E$3,"Small","Medium")),"")</f>
        <v>Large</v>
      </c>
      <c r="AK3" s="201" t="str">
        <f>IF(AK2&lt;&gt;"",IF(AK2&gt;Constants!$F$3,"Large",IF(AK2&lt;=Constants!$E$3,"Small","Medium")),"")</f>
        <v>Medium</v>
      </c>
      <c r="AL3" s="201" t="str">
        <f>IF(AL2&lt;&gt;"",IF(AL2&gt;Constants!$F$3,"Large",IF(AL2&lt;=Constants!$E$3,"Small","Medium")),"")</f>
        <v>Large</v>
      </c>
      <c r="AM3" s="201" t="str">
        <f>IF(AM2&lt;&gt;"",IF(AM2&gt;Constants!$F$3,"Large",IF(AM2&lt;=Constants!$E$3,"Small","Medium")),"")</f>
        <v>Small</v>
      </c>
      <c r="AN3" s="201" t="str">
        <f>IF(AN2&lt;&gt;"",IF(AN2&gt;Constants!$F$3,"Large",IF(AN2&lt;=Constants!$E$3,"Small","Medium")),"")</f>
        <v>Small</v>
      </c>
      <c r="AO3" s="201" t="str">
        <f>IF(AO2&lt;&gt;"",IF(AO2&gt;Constants!$F$3,"Large",IF(AO2&lt;=Constants!$E$3,"Small","Medium")),"")</f>
        <v>Medium</v>
      </c>
      <c r="AP3" s="201" t="str">
        <f>IF(AP2&lt;&gt;"",IF(AP2&gt;Constants!$F$3,"Large",IF(AP2&lt;=Constants!$E$3,"Small","Medium")),"")</f>
        <v>Medium</v>
      </c>
      <c r="AQ3" s="201" t="str">
        <f>IF(AQ2&lt;&gt;"",IF(AQ2&gt;Constants!$F$3,"Large",IF(AQ2&lt;=Constants!$E$3,"Small","Medium")),"")</f>
        <v>Large</v>
      </c>
      <c r="AR3" s="201" t="str">
        <f>IF(AR2&lt;&gt;"",IF(AR2&gt;Constants!$F$3,"Large",IF(AR2&lt;=Constants!$E$3,"Small","Medium")),"")</f>
        <v>Medium</v>
      </c>
      <c r="AS3" s="201" t="str">
        <f>IF(AS2&lt;&gt;"",IF(AS2&gt;Constants!$F$3,"Large",IF(AS2&lt;=Constants!$E$3,"Small","Medium")),"")</f>
        <v>Large</v>
      </c>
      <c r="AT3" s="201" t="str">
        <f>IF(AT2&lt;&gt;"",IF(AT2&gt;Constants!$F$3,"Large",IF(AT2&lt;=Constants!$E$3,"Small","Medium")),"")</f>
        <v>Large</v>
      </c>
      <c r="AU3" s="201" t="str">
        <f>IF(AU2&lt;&gt;"",IF(AU2&gt;Constants!$F$3,"Large",IF(AU2&lt;=Constants!$E$3,"Small","Medium")),"")</f>
        <v>Small</v>
      </c>
      <c r="AV3" s="201" t="str">
        <f>IF(AV2&lt;&gt;"",IF(AV2&gt;Constants!$F$3,"Large",IF(AV2&lt;=Constants!$E$3,"Small","Medium")),"")</f>
        <v>Medium</v>
      </c>
      <c r="AW3" s="201" t="str">
        <f>IF(AW2&lt;&gt;"",IF(AW2&gt;Constants!$F$3,"Large",IF(AW2&lt;=Constants!$E$3,"Small","Medium")),"")</f>
        <v>Large</v>
      </c>
      <c r="AX3" s="201" t="str">
        <f>IF(AX2&lt;&gt;"",IF(AX2&gt;Constants!$F$3,"Large",IF(AX2&lt;=Constants!$E$3,"Small","Medium")),"")</f>
        <v>Medium</v>
      </c>
      <c r="AY3" s="201" t="str">
        <f>IF(AY2&lt;&gt;"",IF(AY2&gt;Constants!$F$3,"Large",IF(AY2&lt;=Constants!$E$3,"Small","Medium")),"")</f>
        <v>Large</v>
      </c>
      <c r="AZ3" s="201" t="str">
        <f>IF(AZ2&lt;&gt;"",IF(AZ2&gt;Constants!$F$3,"Large",IF(AZ2&lt;=Constants!$E$3,"Small","Medium")),"")</f>
        <v>Large</v>
      </c>
      <c r="BA3" s="201" t="str">
        <f>IF(BA2&lt;&gt;"",IF(BA2&gt;Constants!$F$3,"Large",IF(BA2&lt;=Constants!$E$3,"Small","Medium")),"")</f>
        <v>Small</v>
      </c>
      <c r="BB3" s="201" t="str">
        <f>IF(BB2&lt;&gt;"",IF(BB2&gt;Constants!$F$3,"Large",IF(BB2&lt;=Constants!$E$3,"Small","Medium")),"")</f>
        <v>Large</v>
      </c>
      <c r="BC3" s="201" t="str">
        <f>IF(BC2&lt;&gt;"",IF(BC2&gt;Constants!$F$3,"Large",IF(BC2&lt;=Constants!$E$3,"Small","Medium")),"")</f>
        <v>Large</v>
      </c>
      <c r="BD3" s="201" t="str">
        <f>IF(BD2&lt;&gt;"",IF(BD2&gt;Constants!$F$3,"Large",IF(BD2&lt;=Constants!$E$3,"Small","Medium")),"")</f>
        <v>Large</v>
      </c>
      <c r="BE3" s="201" t="str">
        <f>IF(BE2&lt;&gt;"",IF(BE2&gt;Constants!$F$3,"Large",IF(BE2&lt;=Constants!$E$3,"Small","Medium")),"")</f>
        <v>Large</v>
      </c>
      <c r="BF3" s="201" t="str">
        <f>IF(BF2&lt;&gt;"",IF(BF2&gt;Constants!$F$3,"Large",IF(BF2&lt;=Constants!$E$3,"Small","Medium")),"")</f>
        <v>Small</v>
      </c>
      <c r="BG3" s="201" t="str">
        <f>IF(BG2&lt;&gt;"",IF(BG2&gt;Constants!$F$3,"Large",IF(BG2&lt;=Constants!$E$3,"Small","Medium")),"")</f>
        <v>Medium</v>
      </c>
      <c r="BH3" s="201" t="str">
        <f>IF(BH2&lt;&gt;"",IF(BH2&gt;Constants!$F$3,"Large",IF(BH2&lt;=Constants!$E$3,"Small","Medium")),"")</f>
        <v>Medium</v>
      </c>
      <c r="BI3" s="201" t="str">
        <f>IF(BI2&lt;&gt;"",IF(BI2&gt;Constants!$F$3,"Large",IF(BI2&lt;=Constants!$E$3,"Small","Medium")),"")</f>
        <v>Small</v>
      </c>
      <c r="BJ3" s="201" t="str">
        <f>IF(BJ2&lt;&gt;"",IF(BJ2&gt;Constants!$F$3,"Large",IF(BJ2&lt;=Constants!$E$3,"Small","Medium")),"")</f>
        <v>Small</v>
      </c>
      <c r="BK3" s="201" t="str">
        <f>IF(BK2&lt;&gt;"",IF(BK2&gt;Constants!$F$3,"Large",IF(BK2&lt;=Constants!$E$3,"Small","Medium")),"")</f>
        <v>Large</v>
      </c>
      <c r="BL3" s="201" t="str">
        <f>IF(BL2&lt;&gt;"",IF(BL2&gt;Constants!$F$3,"Large",IF(BL2&lt;=Constants!$E$3,"Small","Medium")),"")</f>
        <v>Medium</v>
      </c>
      <c r="BM3" s="201" t="str">
        <f>IF(BM2&lt;&gt;"",IF(BM2&gt;Constants!$F$3,"Large",IF(BM2&lt;=Constants!$E$3,"Small","Medium")),"")</f>
        <v>Small</v>
      </c>
      <c r="BN3" s="201" t="str">
        <f>IF(BN2&lt;&gt;"",IF(BN2&gt;Constants!$F$3,"Large",IF(BN2&lt;=Constants!$E$3,"Small","Medium")),"")</f>
        <v>Medium</v>
      </c>
      <c r="BO3" s="201" t="str">
        <f>IF(BO2&lt;&gt;"",IF(BO2&gt;Constants!$F$3,"Large",IF(BO2&lt;=Constants!$E$3,"Small","Medium")),"")</f>
        <v>Large</v>
      </c>
      <c r="BP3" s="201" t="str">
        <f>IF(BP2&lt;&gt;"",IF(BP2&gt;Constants!$F$3,"Large",IF(BP2&lt;=Constants!$E$3,"Small","Medium")),"")</f>
        <v>Large</v>
      </c>
      <c r="BQ3" s="201" t="str">
        <f>IF(BQ2&lt;&gt;"",IF(BQ2&gt;Constants!$F$3,"Large",IF(BQ2&lt;=Constants!$E$3,"Small","Medium")),"")</f>
        <v>Small</v>
      </c>
      <c r="BR3" s="201" t="str">
        <f>IF(BR2&lt;&gt;"",IF(BR2&gt;Constants!$F$3,"Large",IF(BR2&lt;=Constants!$E$3,"Small","Medium")),"")</f>
        <v>Medium</v>
      </c>
      <c r="BS3" s="201" t="str">
        <f>IF(BS2&lt;&gt;"",IF(BS2&gt;Constants!$F$3,"Large",IF(BS2&lt;=Constants!$E$3,"Small","Medium")),"")</f>
        <v>Small</v>
      </c>
      <c r="BT3" s="201" t="str">
        <f>IF(BT2&lt;&gt;"",IF(BT2&gt;Constants!$F$3,"Large",IF(BT2&lt;=Constants!$E$3,"Small","Medium")),"")</f>
        <v>Large</v>
      </c>
      <c r="BU3" s="201" t="str">
        <f>IF(BU2&lt;&gt;"",IF(BU2&gt;Constants!$F$3,"Large",IF(BU2&lt;=Constants!$E$3,"Small","Medium")),"")</f>
        <v>Medium</v>
      </c>
      <c r="BV3" s="201" t="str">
        <f>IF(BV2&lt;&gt;"",IF(BV2&gt;Constants!$F$3,"Large",IF(BV2&lt;=Constants!$E$3,"Small","Medium")),"")</f>
        <v>Medium</v>
      </c>
      <c r="BW3" s="201" t="str">
        <f>IF(BW2&lt;&gt;"",IF(BW2&gt;Constants!$F$3,"Large",IF(BW2&lt;=Constants!$E$3,"Small","Medium")),"")</f>
        <v>Medium</v>
      </c>
      <c r="BX3" s="201" t="str">
        <f>IF(BX2&lt;&gt;"",IF(BX2&gt;Constants!$F$3,"Large",IF(BX2&lt;=Constants!$E$3,"Small","Medium")),"")</f>
        <v>Medium</v>
      </c>
      <c r="BY3" s="201" t="str">
        <f>IF(BY2&lt;&gt;"",IF(BY2&gt;Constants!$F$3,"Large",IF(BY2&lt;=Constants!$E$3,"Small","Medium")),"")</f>
        <v>Large</v>
      </c>
      <c r="BZ3" s="201" t="str">
        <f>IF(BZ2&lt;&gt;"",IF(BZ2&gt;Constants!$F$3,"Large",IF(BZ2&lt;=Constants!$E$3,"Small","Medium")),"")</f>
        <v>Small</v>
      </c>
      <c r="CA3" s="201" t="str">
        <f>IF(CA2&lt;&gt;"",IF(CA2&gt;Constants!$F$3,"Large",IF(CA2&lt;=Constants!$E$3,"Small","Medium")),"")</f>
        <v>Small</v>
      </c>
      <c r="CB3" s="201" t="str">
        <f>IF(CB2&lt;&gt;"",IF(CB2&gt;Constants!$F$3,"Large",IF(CB2&lt;=Constants!$E$3,"Small","Medium")),"")</f>
        <v>Medium</v>
      </c>
      <c r="CC3" s="201" t="str">
        <f>IF(CC2&lt;&gt;"",IF(CC2&gt;Constants!$F$3,"Large",IF(CC2&lt;=Constants!$E$3,"Small","Medium")),"")</f>
        <v>Large</v>
      </c>
      <c r="CD3" s="201" t="str">
        <f>IF(CD2&lt;&gt;"",IF(CD2&gt;Constants!$F$3,"Large",IF(CD2&lt;=Constants!$E$3,"Small","Medium")),"")</f>
        <v>Large</v>
      </c>
      <c r="CE3" s="201" t="str">
        <f>IF(CE2&lt;&gt;"",IF(CE2&gt;Constants!$F$3,"Large",IF(CE2&lt;=Constants!$E$3,"Small","Medium")),"")</f>
        <v>Small</v>
      </c>
      <c r="CF3" s="201" t="str">
        <f>IF(CF2&lt;&gt;"",IF(CF2&gt;Constants!$F$3,"Large",IF(CF2&lt;=Constants!$E$3,"Small","Medium")),"")</f>
        <v>Large</v>
      </c>
      <c r="CG3" s="201" t="str">
        <f>IF(CG2&lt;&gt;"",IF(CG2&gt;Constants!$F$3,"Large",IF(CG2&lt;=Constants!$E$3,"Small","Medium")),"")</f>
        <v>Medium</v>
      </c>
      <c r="CH3" s="201" t="str">
        <f>IF(CH2&lt;&gt;"",IF(CH2&gt;Constants!$F$3,"Large",IF(CH2&lt;=Constants!$E$3,"Small","Medium")),"")</f>
        <v>Large</v>
      </c>
      <c r="CI3" s="201" t="str">
        <f>IF(CI2&lt;&gt;"",IF(CI2&gt;Constants!$F$3,"Large",IF(CI2&lt;=Constants!$E$3,"Small","Medium")),"")</f>
        <v>Small</v>
      </c>
      <c r="CJ3" s="201" t="str">
        <f>IF(CJ2&lt;&gt;"",IF(CJ2&gt;Constants!$F$3,"Large",IF(CJ2&lt;=Constants!$E$3,"Small","Medium")),"")</f>
        <v>Small</v>
      </c>
      <c r="CK3" s="201" t="str">
        <f>IF(CK2&lt;&gt;"",IF(CK2&gt;Constants!$F$3,"Large",IF(CK2&lt;=Constants!$E$3,"Small","Medium")),"")</f>
        <v>Medium</v>
      </c>
      <c r="CL3" s="201" t="str">
        <f>IF(CL2&lt;&gt;"",IF(CL2&gt;Constants!$F$3,"Large",IF(CL2&lt;=Constants!$E$3,"Small","Medium")),"")</f>
        <v>Medium</v>
      </c>
      <c r="CM3" s="201"/>
      <c r="CN3" s="28"/>
    </row>
    <row r="4" spans="1:92" x14ac:dyDescent="0.25">
      <c r="A4" s="345"/>
      <c r="B4" s="1" t="s">
        <v>7</v>
      </c>
      <c r="C4" s="9">
        <f>SUMIF('Task Durations'!$C$10:$C$34, "Direct",'Task Durations'!D10:D34)</f>
        <v>40.016666666666666</v>
      </c>
      <c r="D4" s="9">
        <f>SUMIF('Task Durations'!$C$10:$C$34, "Direct",'Task Durations'!E10:E34)</f>
        <v>38.899000000000008</v>
      </c>
      <c r="E4" s="9">
        <f>SUMIF('Task Durations'!$C$10:$C$34, "Direct",'Task Durations'!F10:F34)</f>
        <v>32.733333333333334</v>
      </c>
      <c r="F4" s="9">
        <f>SUMIF('Task Durations'!$C$10:$C$34, "Direct",'Task Durations'!G10:G34)</f>
        <v>26.717999999999993</v>
      </c>
      <c r="G4" s="9">
        <f>SUMIF('Task Durations'!$C$10:$C$34, "Direct",'Task Durations'!H10:H34)</f>
        <v>25.465999999999998</v>
      </c>
      <c r="H4" s="9">
        <f>SUMIF('Task Durations'!$C$10:$C$34, "Direct",'Task Durations'!I10:I34)</f>
        <v>24.65</v>
      </c>
      <c r="I4" s="9">
        <f>SUMIF('Task Durations'!$C$10:$C$34, "Direct",'Task Durations'!J10:J34)</f>
        <v>57.766666666666666</v>
      </c>
      <c r="J4" s="9">
        <f>SUMIF('Task Durations'!$C$10:$C$34, "Direct",'Task Durations'!K10:K34)</f>
        <v>44.332999999999998</v>
      </c>
      <c r="K4" s="9">
        <f>SUMIF('Task Durations'!$C$10:$C$34, "Direct",'Task Durations'!L10:L34)</f>
        <v>29.419</v>
      </c>
      <c r="L4" s="9">
        <f>SUMIF('Task Durations'!$C$10:$C$34, "Direct",'Task Durations'!M10:M34)</f>
        <v>41.783000000000001</v>
      </c>
      <c r="M4" s="9">
        <f>SUMIF('Task Durations'!$C$10:$C$34, "Direct",'Task Durations'!N10:N34)</f>
        <v>36.5837</v>
      </c>
      <c r="N4" s="9">
        <f>SUMIF('Task Durations'!$C$10:$C$34, "Direct",'Task Durations'!O10:O34)</f>
        <v>24.417000000000002</v>
      </c>
      <c r="O4" s="9">
        <f>SUMIF('Task Durations'!$C$10:$C$34, "Direct",'Task Durations'!P10:P34)</f>
        <v>42.265999999999998</v>
      </c>
      <c r="P4" s="9">
        <f>SUMIF('Task Durations'!$C$10:$C$34, "Direct",'Task Durations'!Q10:Q34)</f>
        <v>48.048999999999992</v>
      </c>
      <c r="Q4" s="9">
        <f>SUMIF('Task Durations'!$C$10:$C$34, "Direct",'Task Durations'!R10:R34)</f>
        <v>15.75</v>
      </c>
      <c r="R4" s="9">
        <f>SUMIF('Task Durations'!$C$10:$C$34, "Direct",'Task Durations'!S10:S34)</f>
        <v>19.420999999999999</v>
      </c>
      <c r="S4" s="9">
        <f>SUMIF('Task Durations'!$C$10:$C$34, "Direct",'Task Durations'!T10:T34)</f>
        <v>35.667000000000002</v>
      </c>
      <c r="T4" s="9">
        <f>SUMIF('Task Durations'!$C$10:$C$34, "Direct",'Task Durations'!U10:U34)</f>
        <v>40.149700000000003</v>
      </c>
      <c r="U4" s="9">
        <f>SUMIF('Task Durations'!$C$10:$C$34, "Direct",'Task Durations'!V10:V34)</f>
        <v>62.499000000000009</v>
      </c>
      <c r="V4" s="9">
        <f>SUMIF('Task Durations'!$C$10:$C$34, "Direct",'Task Durations'!W10:W34)</f>
        <v>31.766300000000001</v>
      </c>
      <c r="W4" s="9">
        <f>SUMIF('Task Durations'!$C$10:$C$34, "Direct",'Task Durations'!X10:X34)</f>
        <v>32.850300000000004</v>
      </c>
      <c r="X4" s="9">
        <f>SUMIF('Task Durations'!$C$10:$C$34, "Direct",'Task Durations'!Y10:Y34)</f>
        <v>51.498699999999999</v>
      </c>
      <c r="Y4" s="9">
        <f>SUMIF('Task Durations'!$C$10:$C$34, "Direct",'Task Durations'!Z10:Z34)</f>
        <v>27.980000000000004</v>
      </c>
      <c r="Z4" s="9">
        <f>SUMIF('Task Durations'!$C$10:$C$34, "Direct",'Task Durations'!AA10:AA34)</f>
        <v>15.433</v>
      </c>
      <c r="AA4" s="9">
        <f>SUMIF('Task Durations'!$C$10:$C$34, "Direct",'Task Durations'!AB10:AB34)</f>
        <v>53.549700000000001</v>
      </c>
      <c r="AB4" s="9">
        <f>SUMIF('Task Durations'!$C$10:$C$34, "Direct",'Task Durations'!AC10:AC34)</f>
        <v>27.739000000000001</v>
      </c>
      <c r="AC4" s="9">
        <f>SUMIF('Task Durations'!$C$10:$C$34, "Direct",'Task Durations'!AD10:AD34)</f>
        <v>23.023300000000003</v>
      </c>
      <c r="AD4" s="9">
        <f>SUMIF('Task Durations'!$C$10:$C$34, "Direct",'Task Durations'!AE10:AE34)</f>
        <v>43.187000000000005</v>
      </c>
      <c r="AE4" s="9">
        <f>SUMIF('Task Durations'!$C$10:$C$34, "Direct",'Task Durations'!AF10:AF34)</f>
        <v>41.3504</v>
      </c>
      <c r="AF4" s="9">
        <f>SUMIF('Task Durations'!$C$10:$C$34, "Direct",'Task Durations'!AG10:AG34)</f>
        <v>28.849000000000004</v>
      </c>
      <c r="AG4" s="9">
        <f>SUMIF('Task Durations'!$C$10:$C$34, "Direct",'Task Durations'!AH10:AH34)</f>
        <v>29.700000000000003</v>
      </c>
      <c r="AH4" s="9">
        <f>SUMIF('Task Durations'!$C$10:$C$34, "Direct",'Task Durations'!AI10:AI34)</f>
        <v>43.500700000000002</v>
      </c>
      <c r="AI4" s="9">
        <f>SUMIF('Task Durations'!$C$10:$C$34, "Direct",'Task Durations'!AJ10:AJ34)</f>
        <v>41.670999999999999</v>
      </c>
      <c r="AJ4" s="9">
        <f>SUMIF('Task Durations'!$C$10:$C$34, "Direct",'Task Durations'!AK10:AK34)</f>
        <v>35.482999999999997</v>
      </c>
      <c r="AK4" s="9">
        <f>SUMIF('Task Durations'!$C$10:$C$34, "Direct",'Task Durations'!AL10:AL34)</f>
        <v>52.750999999999998</v>
      </c>
      <c r="AL4" s="9">
        <f>SUMIF('Task Durations'!$C$10:$C$34, "Direct",'Task Durations'!AM10:AM34)</f>
        <v>36.750000000000007</v>
      </c>
      <c r="AM4" s="9">
        <f>SUMIF('Task Durations'!$C$10:$C$34, "Direct",'Task Durations'!AN10:AN34)</f>
        <v>39.349999999999994</v>
      </c>
      <c r="AN4" s="9">
        <f>SUMIF('Task Durations'!$C$10:$C$34, "Direct",'Task Durations'!AO10:AO34)</f>
        <v>40.414999999999999</v>
      </c>
      <c r="AO4" s="9">
        <f>SUMIF('Task Durations'!$C$10:$C$34, "Direct",'Task Durations'!AP10:AP34)</f>
        <v>33.766000000000005</v>
      </c>
      <c r="AP4" s="9">
        <f>SUMIF('Task Durations'!$C$10:$C$34, "Direct",'Task Durations'!AQ10:AQ34)</f>
        <v>22.016399999999997</v>
      </c>
      <c r="AQ4" s="9">
        <f>SUMIF('Task Durations'!$C$10:$C$34, "Direct",'Task Durations'!AR10:AR34)</f>
        <v>30.051000000000002</v>
      </c>
      <c r="AR4" s="9">
        <f>SUMIF('Task Durations'!$C$10:$C$34, "Direct",'Task Durations'!AS10:AS34)</f>
        <v>59.820500000000003</v>
      </c>
      <c r="AS4" s="9">
        <f>SUMIF('Task Durations'!$C$10:$C$34, "Direct",'Task Durations'!AT10:AT34)</f>
        <v>38.116999999999997</v>
      </c>
      <c r="AT4" s="9">
        <f>SUMIF('Task Durations'!$C$10:$C$34, "Direct",'Task Durations'!AU10:AU34)</f>
        <v>32.9</v>
      </c>
      <c r="AU4" s="9">
        <f>SUMIF('Task Durations'!$C$10:$C$34, "Direct",'Task Durations'!AV10:AV34)</f>
        <v>20.515999999999998</v>
      </c>
      <c r="AV4" s="9">
        <f>SUMIF('Task Durations'!$C$10:$C$34, "Direct",'Task Durations'!AW10:AW34)</f>
        <v>51.100299999999997</v>
      </c>
      <c r="AW4" s="9">
        <f>SUMIF('Task Durations'!$C$10:$C$34, "Direct",'Task Durations'!AX10:AX34)</f>
        <v>61.084000000000003</v>
      </c>
      <c r="AX4" s="9">
        <f>SUMIF('Task Durations'!$C$10:$C$34, "Direct",'Task Durations'!AY10:AY34)</f>
        <v>26.166</v>
      </c>
      <c r="AY4" s="9">
        <f>SUMIF('Task Durations'!$C$10:$C$34, "Direct",'Task Durations'!AZ10:AZ34)</f>
        <v>46.199700000000007</v>
      </c>
      <c r="AZ4" s="9">
        <f>SUMIF('Task Durations'!$C$10:$C$34, "Direct",'Task Durations'!BA10:BA34)</f>
        <v>57.5336</v>
      </c>
      <c r="BA4" s="9">
        <f>SUMIF('Task Durations'!$C$10:$C$34, "Direct",'Task Durations'!BB10:BB34)</f>
        <v>20.882999999999999</v>
      </c>
      <c r="BB4" s="9">
        <f>SUMIF('Task Durations'!$C$10:$C$34, "Direct",'Task Durations'!BC10:BC34)</f>
        <v>42.416000000000004</v>
      </c>
      <c r="BC4" s="9">
        <f>SUMIF('Task Durations'!$C$10:$C$34, "Direct",'Task Durations'!BD10:BD34)</f>
        <v>41.515999999999998</v>
      </c>
      <c r="BD4" s="9">
        <f>SUMIF('Task Durations'!$C$10:$C$34, "Direct",'Task Durations'!BE10:BE34)</f>
        <v>29.432299999999998</v>
      </c>
      <c r="BE4" s="9">
        <f>SUMIF('Task Durations'!$C$10:$C$34, "Direct",'Task Durations'!BF10:BF34)</f>
        <v>29.467000000000002</v>
      </c>
      <c r="BF4" s="9">
        <f>SUMIF('Task Durations'!$C$10:$C$34, "Direct",'Task Durations'!BG10:BG34)</f>
        <v>34.645199999999996</v>
      </c>
      <c r="BG4" s="9">
        <f>SUMIF('Task Durations'!$C$10:$C$34, "Direct",'Task Durations'!BH10:BH34)</f>
        <v>36.266299999999994</v>
      </c>
      <c r="BH4" s="9">
        <f>SUMIF('Task Durations'!$C$10:$C$34, "Direct",'Task Durations'!BI10:BI34)</f>
        <v>19.541999999999998</v>
      </c>
      <c r="BI4" s="9">
        <f>SUMIF('Task Durations'!$C$10:$C$34, "Direct",'Task Durations'!BJ10:BJ34)</f>
        <v>25.966999999999999</v>
      </c>
      <c r="BJ4" s="9">
        <f>SUMIF('Task Durations'!$C$10:$C$34, "Direct",'Task Durations'!BK10:BK34)</f>
        <v>13.1</v>
      </c>
      <c r="BK4" s="9">
        <f>SUMIF('Task Durations'!$C$10:$C$34, "Direct",'Task Durations'!BL10:BL34)</f>
        <v>37.509300000000003</v>
      </c>
      <c r="BL4" s="9">
        <f>SUMIF('Task Durations'!$C$10:$C$34, "Direct",'Task Durations'!BM10:BM34)</f>
        <v>19.549299999999999</v>
      </c>
      <c r="BM4" s="9">
        <f>SUMIF('Task Durations'!$C$10:$C$34, "Direct",'Task Durations'!BN10:BN34)</f>
        <v>31.0717</v>
      </c>
      <c r="BN4" s="9">
        <f>SUMIF('Task Durations'!$C$10:$C$34, "Direct",'Task Durations'!BO10:BO34)</f>
        <v>28.6493</v>
      </c>
      <c r="BO4" s="9">
        <f>SUMIF('Task Durations'!$C$10:$C$34, "Direct",'Task Durations'!BP10:BP34)</f>
        <v>60.104999999999997</v>
      </c>
      <c r="BP4" s="9">
        <f>SUMIF('Task Durations'!$C$10:$C$34, "Direct",'Task Durations'!BQ10:BQ34)</f>
        <v>21.351000000000003</v>
      </c>
      <c r="BQ4" s="9">
        <f>SUMIF('Task Durations'!$C$10:$C$34, "Direct",'Task Durations'!BR10:BR34)</f>
        <v>33.483700000000006</v>
      </c>
      <c r="BR4" s="9">
        <f>SUMIF('Task Durations'!$C$10:$C$34, "Direct",'Task Durations'!BS10:BS34)</f>
        <v>46.535999999999994</v>
      </c>
      <c r="BS4" s="9">
        <f>SUMIF('Task Durations'!$C$10:$C$34, "Direct",'Task Durations'!BT10:BT34)</f>
        <v>46.982999999999997</v>
      </c>
      <c r="BT4" s="9">
        <f>SUMIF('Task Durations'!$C$10:$C$34, "Direct",'Task Durations'!BU10:BU34)</f>
        <v>64.816300000000012</v>
      </c>
      <c r="BU4" s="9">
        <f>SUMIF('Task Durations'!$C$10:$C$34, "Direct",'Task Durations'!BV10:BV34)</f>
        <v>45.216999999999999</v>
      </c>
      <c r="BV4" s="9">
        <f>SUMIF('Task Durations'!$C$10:$C$34, "Direct",'Task Durations'!BW10:BW34)</f>
        <v>46.216999999999992</v>
      </c>
      <c r="BW4" s="9">
        <f>SUMIF('Task Durations'!$C$10:$C$34, "Direct",'Task Durations'!BX10:BX34)</f>
        <v>15.716700000000001</v>
      </c>
      <c r="BX4" s="9">
        <f>SUMIF('Task Durations'!$C$10:$C$34, "Direct",'Task Durations'!BY10:BY34)</f>
        <v>8.3333000000000013</v>
      </c>
      <c r="BY4" s="9">
        <f>SUMIF('Task Durations'!$C$10:$C$34, "Direct",'Task Durations'!BZ10:BZ34)</f>
        <v>32.732700000000001</v>
      </c>
      <c r="BZ4" s="9">
        <f>SUMIF('Task Durations'!$C$10:$C$34, "Direct",'Task Durations'!CA10:CA34)</f>
        <v>6.2006999999999994</v>
      </c>
      <c r="CA4" s="9">
        <f>SUMIF('Task Durations'!$C$10:$C$34, "Direct",'Task Durations'!CB10:CB34)</f>
        <v>48.466999999999999</v>
      </c>
      <c r="CB4" s="9">
        <f>SUMIF('Task Durations'!$C$10:$C$34, "Direct",'Task Durations'!CC10:CC34)</f>
        <v>39.884000000000007</v>
      </c>
      <c r="CC4" s="9">
        <f>SUMIF('Task Durations'!$C$10:$C$34, "Direct",'Task Durations'!CD10:CD34)</f>
        <v>39.701999999999998</v>
      </c>
      <c r="CD4" s="9">
        <f>SUMIF('Task Durations'!$C$10:$C$34, "Direct",'Task Durations'!CE10:CE34)</f>
        <v>8.85</v>
      </c>
      <c r="CE4" s="9">
        <f>SUMIF('Task Durations'!$C$10:$C$34, "Direct",'Task Durations'!CF10:CF34)</f>
        <v>18.533000000000001</v>
      </c>
      <c r="CF4" s="9">
        <f>SUMIF('Task Durations'!$C$10:$C$34, "Direct",'Task Durations'!CG10:CG34)</f>
        <v>48.633299999999998</v>
      </c>
      <c r="CG4" s="9">
        <f>SUMIF('Task Durations'!$C$10:$C$34, "Direct",'Task Durations'!CH10:CH34)</f>
        <v>27.3</v>
      </c>
      <c r="CH4" s="9">
        <f>SUMIF('Task Durations'!$C$10:$C$34, "Direct",'Task Durations'!CI10:CI34)</f>
        <v>63</v>
      </c>
      <c r="CI4" s="9">
        <f>SUMIF('Task Durations'!$C$10:$C$34, "Direct",'Task Durations'!CJ10:CJ34)</f>
        <v>30.383000000000003</v>
      </c>
      <c r="CJ4" s="9">
        <f>SUMIF('Task Durations'!$C$10:$C$34, "Direct",'Task Durations'!CK10:CK34)</f>
        <v>52.516999999999996</v>
      </c>
      <c r="CK4" s="9">
        <f>SUMIF('Task Durations'!$C$10:$C$34, "Direct",'Task Durations'!CL10:CL34)</f>
        <v>67.398499999999999</v>
      </c>
      <c r="CL4" s="9">
        <f>SUMIF('Task Durations'!$C$10:$C$34, "Direct",'Task Durations'!CM10:CM34)</f>
        <v>33.482999999999997</v>
      </c>
      <c r="CM4" s="9"/>
      <c r="CN4" s="9"/>
    </row>
    <row r="5" spans="1:92" x14ac:dyDescent="0.25">
      <c r="A5" s="345"/>
      <c r="B5" s="1" t="s">
        <v>8</v>
      </c>
      <c r="C5" s="9">
        <f>SUMIF('Task Durations'!$C$10:$C$34, "Indirect",'Task Durations'!D10:D34)</f>
        <v>21.25</v>
      </c>
      <c r="D5" s="9">
        <f>SUMIF('Task Durations'!$C$10:$C$34, "Indirect",'Task Durations'!E10:E34)</f>
        <v>17.266999999999996</v>
      </c>
      <c r="E5" s="9">
        <f>SUMIF('Task Durations'!$C$10:$C$34, "Indirect",'Task Durations'!F10:F34)</f>
        <v>37.800000000000004</v>
      </c>
      <c r="F5" s="9">
        <f>SUMIF('Task Durations'!$C$10:$C$34, "Indirect",'Task Durations'!G10:G34)</f>
        <v>22.699999999999996</v>
      </c>
      <c r="G5" s="9">
        <f>SUMIF('Task Durations'!$C$10:$C$34, "Indirect",'Task Durations'!H10:H34)</f>
        <v>17.683</v>
      </c>
      <c r="H5" s="9">
        <f>SUMIF('Task Durations'!$C$10:$C$34, "Indirect",'Task Durations'!I10:I34)</f>
        <v>21.816666666666666</v>
      </c>
      <c r="I5" s="9">
        <f>SUMIF('Task Durations'!$C$10:$C$34, "Indirect",'Task Durations'!J10:J34)</f>
        <v>17.95</v>
      </c>
      <c r="J5" s="9">
        <f>SUMIF('Task Durations'!$C$10:$C$34, "Indirect",'Task Durations'!K10:K34)</f>
        <v>29.099999999999998</v>
      </c>
      <c r="K5" s="9">
        <f>SUMIF('Task Durations'!$C$10:$C$34, "Indirect",'Task Durations'!L10:L34)</f>
        <v>18.364799999999999</v>
      </c>
      <c r="L5" s="9">
        <f>SUMIF('Task Durations'!$C$10:$C$34, "Indirect",'Task Durations'!M10:M34)</f>
        <v>38.783000000000001</v>
      </c>
      <c r="M5" s="9">
        <f>SUMIF('Task Durations'!$C$10:$C$34, "Indirect",'Task Durations'!N10:N34)</f>
        <v>27.867000000000001</v>
      </c>
      <c r="N5" s="9">
        <f>SUMIF('Task Durations'!$C$10:$C$34, "Indirect",'Task Durations'!O10:O34)</f>
        <v>27.299999999999997</v>
      </c>
      <c r="O5" s="9">
        <f>SUMIF('Task Durations'!$C$10:$C$34, "Indirect",'Task Durations'!P10:P34)</f>
        <v>12.533999999999999</v>
      </c>
      <c r="P5" s="9">
        <f>SUMIF('Task Durations'!$C$10:$C$34, "Indirect",'Task Durations'!Q10:Q34)</f>
        <v>28.850999999999999</v>
      </c>
      <c r="Q5" s="9">
        <f>SUMIF('Task Durations'!$C$10:$C$34, "Indirect",'Task Durations'!R10:R34)</f>
        <v>19.249299999999998</v>
      </c>
      <c r="R5" s="9">
        <f>SUMIF('Task Durations'!$C$10:$C$34, "Indirect",'Task Durations'!S10:S34)</f>
        <v>14.064499999999999</v>
      </c>
      <c r="S5" s="9">
        <f>SUMIF('Task Durations'!$C$10:$C$34, "Indirect",'Task Durations'!T10:T34)</f>
        <v>26.050999999999998</v>
      </c>
      <c r="T5" s="9">
        <f>SUMIF('Task Durations'!$C$10:$C$34, "Indirect",'Task Durations'!U10:U34)</f>
        <v>27.166999999999998</v>
      </c>
      <c r="U5" s="9">
        <f>SUMIF('Task Durations'!$C$10:$C$34, "Indirect",'Task Durations'!V10:V34)</f>
        <v>35.849999999999994</v>
      </c>
      <c r="V5" s="9">
        <f>SUMIF('Task Durations'!$C$10:$C$34, "Indirect",'Task Durations'!W10:W34)</f>
        <v>14.600000000000001</v>
      </c>
      <c r="W5" s="9">
        <f>SUMIF('Task Durations'!$C$10:$C$34, "Indirect",'Task Durations'!X10:X34)</f>
        <v>21.95</v>
      </c>
      <c r="X5" s="9">
        <f>SUMIF('Task Durations'!$C$10:$C$34, "Indirect",'Task Durations'!Y10:Y34)</f>
        <v>18.533000000000001</v>
      </c>
      <c r="Y5" s="9">
        <f>SUMIF('Task Durations'!$C$10:$C$34, "Indirect",'Task Durations'!Z10:Z34)</f>
        <v>16.400000000000002</v>
      </c>
      <c r="Z5" s="9">
        <f>SUMIF('Task Durations'!$C$10:$C$34, "Indirect",'Task Durations'!AA10:AA34)</f>
        <v>31.1</v>
      </c>
      <c r="AA5" s="9">
        <f>SUMIF('Task Durations'!$C$10:$C$34, "Indirect",'Task Durations'!AB10:AB34)</f>
        <v>16.967300000000002</v>
      </c>
      <c r="AB5" s="9">
        <f>SUMIF('Task Durations'!$C$10:$C$34, "Indirect",'Task Durations'!AC10:AC34)</f>
        <v>13.353499999999999</v>
      </c>
      <c r="AC5" s="9">
        <f>SUMIF('Task Durations'!$C$10:$C$34, "Indirect",'Task Durations'!AD10:AD34)</f>
        <v>13.178000000000001</v>
      </c>
      <c r="AD5" s="9">
        <f>SUMIF('Task Durations'!$C$10:$C$34, "Indirect",'Task Durations'!AE10:AE34)</f>
        <v>20.265999999999998</v>
      </c>
      <c r="AE5" s="9">
        <f>SUMIF('Task Durations'!$C$10:$C$34, "Indirect",'Task Durations'!AF10:AF34)</f>
        <v>16.150300000000001</v>
      </c>
      <c r="AF5" s="9">
        <f>SUMIF('Task Durations'!$C$10:$C$34, "Indirect",'Task Durations'!AG10:AG34)</f>
        <v>28.183299999999999</v>
      </c>
      <c r="AG5" s="9">
        <f>SUMIF('Task Durations'!$C$10:$C$34, "Indirect",'Task Durations'!AH10:AH34)</f>
        <v>20.2163</v>
      </c>
      <c r="AH5" s="9">
        <f>SUMIF('Task Durations'!$C$10:$C$34, "Indirect",'Task Durations'!AI10:AI34)</f>
        <v>21.300000000000004</v>
      </c>
      <c r="AI5" s="9">
        <f>SUMIF('Task Durations'!$C$10:$C$34, "Indirect",'Task Durations'!AJ10:AJ34)</f>
        <v>23.132999999999999</v>
      </c>
      <c r="AJ5" s="9">
        <f>SUMIF('Task Durations'!$C$10:$C$34, "Indirect",'Task Durations'!AK10:AK34)</f>
        <v>29.082999999999998</v>
      </c>
      <c r="AK5" s="9">
        <f>SUMIF('Task Durations'!$C$10:$C$34, "Indirect",'Task Durations'!AL10:AL34)</f>
        <v>27.716999999999999</v>
      </c>
      <c r="AL5" s="9">
        <f>SUMIF('Task Durations'!$C$10:$C$34, "Indirect",'Task Durations'!AM10:AM34)</f>
        <v>12.149999999999999</v>
      </c>
      <c r="AM5" s="9">
        <f>SUMIF('Task Durations'!$C$10:$C$34, "Indirect",'Task Durations'!AN10:AN34)</f>
        <v>31.971999999999998</v>
      </c>
      <c r="AN5" s="9">
        <f>SUMIF('Task Durations'!$C$10:$C$34, "Indirect",'Task Durations'!AO10:AO34)</f>
        <v>30.716300000000004</v>
      </c>
      <c r="AO5" s="9">
        <f>SUMIF('Task Durations'!$C$10:$C$34, "Indirect",'Task Durations'!AP10:AP34)</f>
        <v>27.817</v>
      </c>
      <c r="AP5" s="9">
        <f>SUMIF('Task Durations'!$C$10:$C$34, "Indirect",'Task Durations'!AQ10:AQ34)</f>
        <v>24.167000000000002</v>
      </c>
      <c r="AQ5" s="9">
        <f>SUMIF('Task Durations'!$C$10:$C$34, "Indirect",'Task Durations'!AR10:AR34)</f>
        <v>11.967000000000002</v>
      </c>
      <c r="AR5" s="9">
        <f>SUMIF('Task Durations'!$C$10:$C$34, "Indirect",'Task Durations'!AS10:AS34)</f>
        <v>19.408999999999999</v>
      </c>
      <c r="AS5" s="9">
        <f>SUMIF('Task Durations'!$C$10:$C$34, "Indirect",'Task Durations'!AT10:AT34)</f>
        <v>16.032999999999998</v>
      </c>
      <c r="AT5" s="9">
        <f>SUMIF('Task Durations'!$C$10:$C$34, "Indirect",'Task Durations'!AU10:AU34)</f>
        <v>22.683</v>
      </c>
      <c r="AU5" s="9">
        <f>SUMIF('Task Durations'!$C$10:$C$34, "Indirect",'Task Durations'!AV10:AV34)</f>
        <v>34.224299999999999</v>
      </c>
      <c r="AV5" s="9">
        <f>SUMIF('Task Durations'!$C$10:$C$34, "Indirect",'Task Durations'!AW10:AW34)</f>
        <v>30.300999999999998</v>
      </c>
      <c r="AW5" s="9">
        <f>SUMIF('Task Durations'!$C$10:$C$34, "Indirect",'Task Durations'!AX10:AX34)</f>
        <v>18</v>
      </c>
      <c r="AX5" s="9">
        <f>SUMIF('Task Durations'!$C$10:$C$34, "Indirect",'Task Durations'!AY10:AY34)</f>
        <v>17.233000000000001</v>
      </c>
      <c r="AY5" s="9">
        <f>SUMIF('Task Durations'!$C$10:$C$34, "Indirect",'Task Durations'!AZ10:AZ34)</f>
        <v>15.481999999999999</v>
      </c>
      <c r="AZ5" s="9">
        <f>SUMIF('Task Durations'!$C$10:$C$34, "Indirect",'Task Durations'!BA10:BA34)</f>
        <v>19.165699999999998</v>
      </c>
      <c r="BA5" s="9">
        <f>SUMIF('Task Durations'!$C$10:$C$34, "Indirect",'Task Durations'!BB10:BB34)</f>
        <v>26.967000000000006</v>
      </c>
      <c r="BB5" s="9">
        <f>SUMIF('Task Durations'!$C$10:$C$34, "Indirect",'Task Durations'!BC10:BC34)</f>
        <v>19.5167</v>
      </c>
      <c r="BC5" s="9">
        <f>SUMIF('Task Durations'!$C$10:$C$34, "Indirect",'Task Durations'!BD10:BD34)</f>
        <v>20.049999999999997</v>
      </c>
      <c r="BD5" s="9">
        <f>SUMIF('Task Durations'!$C$10:$C$34, "Indirect",'Task Durations'!BE10:BE34)</f>
        <v>26.700299999999999</v>
      </c>
      <c r="BE5" s="9">
        <f>SUMIF('Task Durations'!$C$10:$C$34, "Indirect",'Task Durations'!BF10:BF34)</f>
        <v>18.183</v>
      </c>
      <c r="BF5" s="9">
        <f>SUMIF('Task Durations'!$C$10:$C$34, "Indirect",'Task Durations'!BG10:BG34)</f>
        <v>19.497999999999998</v>
      </c>
      <c r="BG5" s="9">
        <f>SUMIF('Task Durations'!$C$10:$C$34, "Indirect",'Task Durations'!BH10:BH34)</f>
        <v>18.0337</v>
      </c>
      <c r="BH5" s="9">
        <f>SUMIF('Task Durations'!$C$10:$C$34, "Indirect",'Task Durations'!BI10:BI34)</f>
        <v>16.351300000000002</v>
      </c>
      <c r="BI5" s="9">
        <f>SUMIF('Task Durations'!$C$10:$C$34, "Indirect",'Task Durations'!BJ10:BJ34)</f>
        <v>26.85</v>
      </c>
      <c r="BJ5" s="9">
        <f>SUMIF('Task Durations'!$C$10:$C$34, "Indirect",'Task Durations'!BK10:BK34)</f>
        <v>12.082999999999998</v>
      </c>
      <c r="BK5" s="9">
        <f>SUMIF('Task Durations'!$C$10:$C$34, "Indirect",'Task Durations'!BL10:BL34)</f>
        <v>23.386199999999999</v>
      </c>
      <c r="BL5" s="9">
        <f>SUMIF('Task Durations'!$C$10:$C$34, "Indirect",'Task Durations'!BM10:BM34)</f>
        <v>9.7840000000000007</v>
      </c>
      <c r="BM5" s="9">
        <f>SUMIF('Task Durations'!$C$10:$C$34, "Indirect",'Task Durations'!BN10:BN34)</f>
        <v>42.033999999999999</v>
      </c>
      <c r="BN5" s="9">
        <f>SUMIF('Task Durations'!$C$10:$C$34, "Indirect",'Task Durations'!BO10:BO34)</f>
        <v>29.367000000000001</v>
      </c>
      <c r="BO5" s="9">
        <f>SUMIF('Task Durations'!$C$10:$C$34, "Indirect",'Task Durations'!BP10:BP34)</f>
        <v>33.742000000000004</v>
      </c>
      <c r="BP5" s="9">
        <f>SUMIF('Task Durations'!$C$10:$C$34, "Indirect",'Task Durations'!BQ10:BQ34)</f>
        <v>15.649000000000001</v>
      </c>
      <c r="BQ5" s="9">
        <f>SUMIF('Task Durations'!$C$10:$C$34, "Indirect",'Task Durations'!BR10:BR34)</f>
        <v>15.3</v>
      </c>
      <c r="BR5" s="9">
        <f>SUMIF('Task Durations'!$C$10:$C$34, "Indirect",'Task Durations'!BS10:BS34)</f>
        <v>7.3056999999999981</v>
      </c>
      <c r="BS5" s="9">
        <f>SUMIF('Task Durations'!$C$10:$C$34, "Indirect",'Task Durations'!BT10:BT34)</f>
        <v>12.067</v>
      </c>
      <c r="BT5" s="9">
        <f>SUMIF('Task Durations'!$C$10:$C$34, "Indirect",'Task Durations'!BU10:BU34)</f>
        <v>18.183</v>
      </c>
      <c r="BU5" s="9">
        <f>SUMIF('Task Durations'!$C$10:$C$34, "Indirect",'Task Durations'!BV10:BV34)</f>
        <v>24.083300000000008</v>
      </c>
      <c r="BV5" s="9">
        <f>SUMIF('Task Durations'!$C$10:$C$34, "Indirect",'Task Durations'!BW10:BW34)</f>
        <v>19.883299999999998</v>
      </c>
      <c r="BW5" s="9">
        <f>SUMIF('Task Durations'!$C$10:$C$34, "Indirect",'Task Durations'!BX10:BX34)</f>
        <v>17.183299999999999</v>
      </c>
      <c r="BX5" s="9">
        <f>SUMIF('Task Durations'!$C$10:$C$34, "Indirect",'Task Durations'!BY10:BY34)</f>
        <v>15.767000000000001</v>
      </c>
      <c r="BY5" s="9">
        <f>SUMIF('Task Durations'!$C$10:$C$34, "Indirect",'Task Durations'!BZ10:BZ34)</f>
        <v>21.083000000000002</v>
      </c>
      <c r="BZ5" s="9">
        <f>SUMIF('Task Durations'!$C$10:$C$34, "Indirect",'Task Durations'!CA10:CA34)</f>
        <v>13.616</v>
      </c>
      <c r="CA5" s="9">
        <f>SUMIF('Task Durations'!$C$10:$C$34, "Indirect",'Task Durations'!CB10:CB34)</f>
        <v>33.683</v>
      </c>
      <c r="CB5" s="9">
        <f>SUMIF('Task Durations'!$C$10:$C$34, "Indirect",'Task Durations'!CC10:CC34)</f>
        <v>26.1</v>
      </c>
      <c r="CC5" s="9">
        <f>SUMIF('Task Durations'!$C$10:$C$34, "Indirect",'Task Durations'!CD10:CD34)</f>
        <v>10.867000000000001</v>
      </c>
      <c r="CD5" s="9">
        <f>SUMIF('Task Durations'!$C$10:$C$34, "Indirect",'Task Durations'!CE10:CE34)</f>
        <v>8.5829999999999984</v>
      </c>
      <c r="CE5" s="9">
        <f>SUMIF('Task Durations'!$C$10:$C$34, "Indirect",'Task Durations'!CF10:CF34)</f>
        <v>19.566299999999998</v>
      </c>
      <c r="CF5" s="9">
        <f>SUMIF('Task Durations'!$C$10:$C$34, "Indirect",'Task Durations'!CG10:CG34)</f>
        <v>28.067</v>
      </c>
      <c r="CG5" s="9">
        <f>SUMIF('Task Durations'!$C$10:$C$34, "Indirect",'Task Durations'!CH10:CH34)</f>
        <v>44.132999999999996</v>
      </c>
      <c r="CH5" s="9">
        <f>SUMIF('Task Durations'!$C$10:$C$34, "Indirect",'Task Durations'!CI10:CI34)</f>
        <v>22.5</v>
      </c>
      <c r="CI5" s="9">
        <f>SUMIF('Task Durations'!$C$10:$C$34, "Indirect",'Task Durations'!CJ10:CJ34)</f>
        <v>21.25</v>
      </c>
      <c r="CJ5" s="9">
        <f>SUMIF('Task Durations'!$C$10:$C$34, "Indirect",'Task Durations'!CK10:CK34)</f>
        <v>23.483000000000004</v>
      </c>
      <c r="CK5" s="9">
        <f>SUMIF('Task Durations'!$C$10:$C$34, "Indirect",'Task Durations'!CL10:CL34)</f>
        <v>14.968999999999998</v>
      </c>
      <c r="CL5" s="9">
        <f>SUMIF('Task Durations'!$C$10:$C$34, "Indirect",'Task Durations'!CM10:CM34)</f>
        <v>23.798999999999999</v>
      </c>
      <c r="CM5" s="9"/>
      <c r="CN5" s="9"/>
    </row>
    <row r="6" spans="1:92" x14ac:dyDescent="0.25">
      <c r="A6" s="345"/>
      <c r="B6" s="1" t="s">
        <v>9</v>
      </c>
      <c r="C6" s="9">
        <f>SUMIF('Task Durations'!$C$10:$C$34, "Travel (Internal)",'Task Durations'!D10:D34)</f>
        <v>9.6833333333333318</v>
      </c>
      <c r="D6" s="9">
        <f>SUMIF('Task Durations'!$C$10:$C$34, "Travel (Internal)",'Task Durations'!E10:E34)</f>
        <v>3.5509999999999948</v>
      </c>
      <c r="E6" s="9">
        <f>SUMIF('Task Durations'!$C$10:$C$34, "Travel (Internal)",'Task Durations'!F10:F34)</f>
        <v>2.716666666666665</v>
      </c>
      <c r="F6" s="9">
        <f>SUMIF('Task Durations'!$C$10:$C$34, "Travel (Internal)",'Task Durations'!G10:G34)</f>
        <v>8.5330000000000048</v>
      </c>
      <c r="G6" s="9">
        <f>SUMIF('Task Durations'!$C$10:$C$34, "Travel (Internal)",'Task Durations'!H10:H34)</f>
        <v>4.8850000000000016</v>
      </c>
      <c r="H6" s="9">
        <f>SUMIF('Task Durations'!$C$10:$C$34, "Travel (Internal)",'Task Durations'!I10:I34)</f>
        <v>12.25</v>
      </c>
      <c r="I6" s="9">
        <f>SUMIF('Task Durations'!$C$10:$C$34, "Travel (Internal)",'Task Durations'!J10:J34)</f>
        <v>2.116666666666668</v>
      </c>
      <c r="J6" s="9">
        <f>SUMIF('Task Durations'!$C$10:$C$34, "Travel (Internal)",'Task Durations'!K10:K34)</f>
        <v>5.55</v>
      </c>
      <c r="K6" s="9">
        <f>SUMIF('Task Durations'!$C$10:$C$34, "Travel (Internal)",'Task Durations'!L10:L34)</f>
        <v>2.1780000000000008</v>
      </c>
      <c r="L6" s="9">
        <f>SUMIF('Task Durations'!$C$10:$C$34, "Travel (Internal)",'Task Durations'!M10:M34)</f>
        <v>2.8836666666666662</v>
      </c>
      <c r="M6" s="9">
        <f>SUMIF('Task Durations'!$C$10:$C$34, "Travel (Internal)",'Task Durations'!N10:N34)</f>
        <v>2.6992999999999983</v>
      </c>
      <c r="N6" s="9">
        <f>SUMIF('Task Durations'!$C$10:$C$34, "Travel (Internal)",'Task Durations'!O10:O34)</f>
        <v>3.916999999999998</v>
      </c>
      <c r="O6" s="9">
        <f>SUMIF('Task Durations'!$C$10:$C$34, "Travel (Internal)",'Task Durations'!P10:P34)</f>
        <v>3.3670000000000018</v>
      </c>
      <c r="P6" s="9">
        <f>SUMIF('Task Durations'!$C$10:$C$34, "Travel (Internal)",'Task Durations'!Q10:Q34)</f>
        <v>3.1340000000000048</v>
      </c>
      <c r="Q6" s="9">
        <f>SUMIF('Task Durations'!$C$10:$C$34, "Travel (Internal)",'Task Durations'!R10:R34)</f>
        <v>5.1669999999999998</v>
      </c>
      <c r="R6" s="9">
        <f>SUMIF('Task Durations'!$C$10:$C$34, "Travel (Internal)",'Task Durations'!S10:S34)</f>
        <v>3.2145000000000028</v>
      </c>
      <c r="S6" s="9">
        <f>SUMIF('Task Durations'!$C$10:$C$34, "Travel (Internal)",'Task Durations'!T10:T34)</f>
        <v>2.8660000000000014</v>
      </c>
      <c r="T6" s="9">
        <f>SUMIF('Task Durations'!$C$10:$C$34, "Travel (Internal)",'Task Durations'!U10:U34)</f>
        <v>1.2833000000000034</v>
      </c>
      <c r="U6" s="9">
        <f>SUMIF('Task Durations'!$C$10:$C$34, "Travel (Internal)",'Task Durations'!V10:V34)</f>
        <v>38.118000000000002</v>
      </c>
      <c r="V6" s="9">
        <f>SUMIF('Task Durations'!$C$10:$C$34, "Travel (Internal)",'Task Durations'!W10:W34)</f>
        <v>6.2677000000000005</v>
      </c>
      <c r="W6" s="9">
        <f>SUMIF('Task Durations'!$C$10:$C$34, "Travel (Internal)",'Task Durations'!X10:X34)</f>
        <v>0.89969999999999928</v>
      </c>
      <c r="X6" s="9">
        <f>SUMIF('Task Durations'!$C$10:$C$34, "Travel (Internal)",'Task Durations'!Y10:Y34)</f>
        <v>6.4843000000000037</v>
      </c>
      <c r="Y6" s="9">
        <f>SUMIF('Task Durations'!$C$10:$C$34, "Travel (Internal)",'Task Durations'!Z10:Z34)</f>
        <v>5.8699999999999974</v>
      </c>
      <c r="Z6" s="9">
        <f>SUMIF('Task Durations'!$C$10:$C$34, "Travel (Internal)",'Task Durations'!AA10:AA34)</f>
        <v>1.1836999999999984</v>
      </c>
      <c r="AA6" s="9">
        <f>SUMIF('Task Durations'!$C$10:$C$34, "Travel (Internal)",'Task Durations'!AB10:AB34)</f>
        <v>6.6492999999999984</v>
      </c>
      <c r="AB6" s="9">
        <f>SUMIF('Task Durations'!$C$10:$C$34, "Travel (Internal)",'Task Durations'!AC10:AC34)</f>
        <v>1.6096999999999979</v>
      </c>
      <c r="AC6" s="9">
        <f>SUMIF('Task Durations'!$C$10:$C$34, "Travel (Internal)",'Task Durations'!AD10:AD34)</f>
        <v>2.3366999999999969</v>
      </c>
      <c r="AD6" s="9">
        <f>SUMIF('Task Durations'!$C$10:$C$34, "Travel (Internal)",'Task Durations'!AE10:AE34)</f>
        <v>14.469000000000003</v>
      </c>
      <c r="AE6" s="9">
        <f>SUMIF('Task Durations'!$C$10:$C$34, "Travel (Internal)",'Task Durations'!AF10:AF34)</f>
        <v>9.8666000000000018</v>
      </c>
      <c r="AF6" s="9">
        <f>SUMIF('Task Durations'!$C$10:$C$34, "Travel (Internal)",'Task Durations'!AG10:AG34)</f>
        <v>8.7836999999999961</v>
      </c>
      <c r="AG6" s="9">
        <f>SUMIF('Task Durations'!$C$10:$C$34, "Travel (Internal)",'Task Durations'!AH10:AH34)</f>
        <v>3.8326999999999991</v>
      </c>
      <c r="AH6" s="9">
        <f>SUMIF('Task Durations'!$C$10:$C$34, "Travel (Internal)",'Task Durations'!AI10:AI34)</f>
        <v>9.7493000000000016</v>
      </c>
      <c r="AI6" s="9">
        <f>SUMIF('Task Durations'!$C$10:$C$34, "Travel (Internal)",'Task Durations'!AJ10:AJ34)</f>
        <v>15.695700000000004</v>
      </c>
      <c r="AJ6" s="9">
        <f>SUMIF('Task Durations'!$C$10:$C$34, "Travel (Internal)",'Task Durations'!AK10:AK34)</f>
        <v>7.5170000000000039</v>
      </c>
      <c r="AK6" s="9">
        <f>SUMIF('Task Durations'!$C$10:$C$34, "Travel (Internal)",'Task Durations'!AL10:AL34)</f>
        <v>5.4659999999999993</v>
      </c>
      <c r="AL6" s="9">
        <f>SUMIF('Task Durations'!$C$10:$C$34, "Travel (Internal)",'Task Durations'!AM10:AM34)</f>
        <v>4.1999999999999993</v>
      </c>
      <c r="AM6" s="9">
        <f>SUMIF('Task Durations'!$C$10:$C$34, "Travel (Internal)",'Task Durations'!AN10:AN34)</f>
        <v>1.6780000000000019</v>
      </c>
      <c r="AN6" s="9">
        <f>SUMIF('Task Durations'!$C$10:$C$34, "Travel (Internal)",'Task Durations'!AO10:AO34)</f>
        <v>7.5347000000000026</v>
      </c>
      <c r="AO6" s="9">
        <f>SUMIF('Task Durations'!$C$10:$C$34, "Travel (Internal)",'Task Durations'!AP10:AP34)</f>
        <v>2.4170000000000034</v>
      </c>
      <c r="AP6" s="9">
        <f>SUMIF('Task Durations'!$C$10:$C$34, "Travel (Internal)",'Task Durations'!AQ10:AQ34)</f>
        <v>8.4496000000000002</v>
      </c>
      <c r="AQ6" s="9">
        <f>SUMIF('Task Durations'!$C$10:$C$34, "Travel (Internal)",'Task Durations'!AR10:AR34)</f>
        <v>9.3320000000000007</v>
      </c>
      <c r="AR6" s="9">
        <f>SUMIF('Task Durations'!$C$10:$C$34, "Travel (Internal)",'Task Durations'!AS10:AS34)</f>
        <v>5.0715000000000021</v>
      </c>
      <c r="AS6" s="9">
        <f>SUMIF('Task Durations'!$C$10:$C$34, "Travel (Internal)",'Task Durations'!AT10:AT34)</f>
        <v>9.7170000000000023</v>
      </c>
      <c r="AT6" s="9">
        <f>SUMIF('Task Durations'!$C$10:$C$34, "Travel (Internal)",'Task Durations'!AU10:AU34)</f>
        <v>13.1503</v>
      </c>
      <c r="AU6" s="9">
        <f>SUMIF('Task Durations'!$C$10:$C$34, "Travel (Internal)",'Task Durations'!AV10:AV34)</f>
        <v>15.248000000000003</v>
      </c>
      <c r="AV6" s="9">
        <f>SUMIF('Task Durations'!$C$10:$C$34, "Travel (Internal)",'Task Durations'!AW10:AW34)</f>
        <v>1.4987000000000013</v>
      </c>
      <c r="AW6" s="9">
        <f>SUMIF('Task Durations'!$C$10:$C$34, "Travel (Internal)",'Task Durations'!AX10:AX34)</f>
        <v>10.499999999999998</v>
      </c>
      <c r="AX6" s="9">
        <f>SUMIF('Task Durations'!$C$10:$C$34, "Travel (Internal)",'Task Durations'!AY10:AY34)</f>
        <v>7.6669999999999998</v>
      </c>
      <c r="AY6" s="9">
        <f>SUMIF('Task Durations'!$C$10:$C$34, "Travel (Internal)",'Task Durations'!AZ10:AZ34)</f>
        <v>13.417599999999995</v>
      </c>
      <c r="AZ6" s="9">
        <f>SUMIF('Task Durations'!$C$10:$C$34, "Travel (Internal)",'Task Durations'!BA10:BA34)</f>
        <v>3.7336999999999989</v>
      </c>
      <c r="BA6" s="9">
        <f>SUMIF('Task Durations'!$C$10:$C$34, "Travel (Internal)",'Task Durations'!BB10:BB34)</f>
        <v>2.5830000000000002</v>
      </c>
      <c r="BB6" s="9">
        <f>SUMIF('Task Durations'!$C$10:$C$34, "Travel (Internal)",'Task Durations'!BC10:BC34)</f>
        <v>5.3345999999999982</v>
      </c>
      <c r="BC6" s="9">
        <f>SUMIF('Task Durations'!$C$10:$C$34, "Travel (Internal)",'Task Durations'!BD10:BD34)</f>
        <v>5.3510000000000044</v>
      </c>
      <c r="BD6" s="9">
        <f>SUMIF('Task Durations'!$C$10:$C$34, "Travel (Internal)",'Task Durations'!BE10:BE34)</f>
        <v>8.2014000000000031</v>
      </c>
      <c r="BE6" s="9">
        <f>SUMIF('Task Durations'!$C$10:$C$34, "Travel (Internal)",'Task Durations'!BF10:BF34)</f>
        <v>10.900000000000002</v>
      </c>
      <c r="BF6" s="9">
        <f>SUMIF('Task Durations'!$C$10:$C$34, "Travel (Internal)",'Task Durations'!BG10:BG34)</f>
        <v>24.616800000000001</v>
      </c>
      <c r="BG6" s="9">
        <f>SUMIF('Task Durations'!$C$10:$C$34, "Travel (Internal)",'Task Durations'!BH10:BH34)</f>
        <v>1.4500000000000042</v>
      </c>
      <c r="BH6" s="9">
        <f>SUMIF('Task Durations'!$C$10:$C$34, "Travel (Internal)",'Task Durations'!BI10:BI34)</f>
        <v>3.5069999999999988</v>
      </c>
      <c r="BI6" s="9">
        <f>SUMIF('Task Durations'!$C$10:$C$34, "Travel (Internal)",'Task Durations'!BJ10:BJ34)</f>
        <v>1.5659999999999998</v>
      </c>
      <c r="BJ6" s="9">
        <f>SUMIF('Task Durations'!$C$10:$C$34, "Travel (Internal)",'Task Durations'!BK10:BK34)</f>
        <v>3.0830000000000011</v>
      </c>
      <c r="BK6" s="9">
        <f>SUMIF('Task Durations'!$C$10:$C$34, "Travel (Internal)",'Task Durations'!BL10:BL34)</f>
        <v>7.0346999999999946</v>
      </c>
      <c r="BL6" s="9">
        <f>SUMIF('Task Durations'!$C$10:$C$34, "Travel (Internal)",'Task Durations'!BM10:BM34)</f>
        <v>6.4837000000000025</v>
      </c>
      <c r="BM6" s="9">
        <f>SUMIF('Task Durations'!$C$10:$C$34, "Travel (Internal)",'Task Durations'!BN10:BN34)</f>
        <v>1.3273000000000041</v>
      </c>
      <c r="BN6" s="9">
        <f>SUMIF('Task Durations'!$C$10:$C$34, "Travel (Internal)",'Task Durations'!BO10:BO34)</f>
        <v>3.0506999999999973</v>
      </c>
      <c r="BO6" s="9">
        <f>SUMIF('Task Durations'!$C$10:$C$34, "Travel (Internal)",'Task Durations'!BP10:BP34)</f>
        <v>13.885000000000007</v>
      </c>
      <c r="BP6" s="9">
        <f>SUMIF('Task Durations'!$C$10:$C$34, "Travel (Internal)",'Task Durations'!BQ10:BQ34)</f>
        <v>9.9999999999999982</v>
      </c>
      <c r="BQ6" s="9">
        <f>SUMIF('Task Durations'!$C$10:$C$34, "Travel (Internal)",'Task Durations'!BR10:BR34)</f>
        <v>2.0832999999999977</v>
      </c>
      <c r="BR6" s="9">
        <f>SUMIF('Task Durations'!$C$10:$C$34, "Travel (Internal)",'Task Durations'!BS10:BS34)</f>
        <v>1.3643000000000041</v>
      </c>
      <c r="BS6" s="9">
        <f>SUMIF('Task Durations'!$C$10:$C$34, "Travel (Internal)",'Task Durations'!BT10:BT34)</f>
        <v>3.25</v>
      </c>
      <c r="BT6" s="9">
        <f>SUMIF('Task Durations'!$C$10:$C$34, "Travel (Internal)",'Task Durations'!BU10:BU34)</f>
        <v>14.733699999999997</v>
      </c>
      <c r="BU6" s="9">
        <f>SUMIF('Task Durations'!$C$10:$C$34, "Travel (Internal)",'Task Durations'!BV10:BV34)</f>
        <v>2.3499999999999965</v>
      </c>
      <c r="BV6" s="9">
        <f>SUMIF('Task Durations'!$C$10:$C$34, "Travel (Internal)",'Task Durations'!BW10:BW34)</f>
        <v>12.200000000000005</v>
      </c>
      <c r="BW6" s="9">
        <f>SUMIF('Task Durations'!$C$10:$C$34, "Travel (Internal)",'Task Durations'!BX10:BX34)</f>
        <v>2.867</v>
      </c>
      <c r="BX6" s="9">
        <f>SUMIF('Task Durations'!$C$10:$C$34, "Travel (Internal)",'Task Durations'!BY10:BY34)</f>
        <v>1.0666999999999995</v>
      </c>
      <c r="BY6" s="9">
        <f>SUMIF('Task Durations'!$C$10:$C$34, "Travel (Internal)",'Task Durations'!BZ10:BZ34)</f>
        <v>8.7832999999999988</v>
      </c>
      <c r="BZ6" s="9">
        <f>SUMIF('Task Durations'!$C$10:$C$34, "Travel (Internal)",'Task Durations'!CA10:CA34)</f>
        <v>2.6663000000000006</v>
      </c>
      <c r="CA6" s="9">
        <f>SUMIF('Task Durations'!$C$10:$C$34, "Travel (Internal)",'Task Durations'!CB10:CB34)</f>
        <v>3.9159999999999968</v>
      </c>
      <c r="CB6" s="9">
        <f>SUMIF('Task Durations'!$C$10:$C$34, "Travel (Internal)",'Task Durations'!CC10:CC34)</f>
        <v>13.766000000000002</v>
      </c>
      <c r="CC6" s="9">
        <f>SUMIF('Task Durations'!$C$10:$C$34, "Travel (Internal)",'Task Durations'!CD10:CD34)</f>
        <v>7.4977000000000018</v>
      </c>
      <c r="CD6" s="9">
        <f>SUMIF('Task Durations'!$C$10:$C$34, "Travel (Internal)",'Task Durations'!CE10:CE34)</f>
        <v>10.832999999999998</v>
      </c>
      <c r="CE6" s="9">
        <f>SUMIF('Task Durations'!$C$10:$C$34, "Travel (Internal)",'Task Durations'!CF10:CF34)</f>
        <v>1.6170000000000011</v>
      </c>
      <c r="CF6" s="9">
        <f>SUMIF('Task Durations'!$C$10:$C$34, "Travel (Internal)",'Task Durations'!CG10:CG34)</f>
        <v>9.016</v>
      </c>
      <c r="CG6" s="9">
        <f>SUMIF('Task Durations'!$C$10:$C$34, "Travel (Internal)",'Task Durations'!CH10:CH34)</f>
        <v>9.3339999999999996</v>
      </c>
      <c r="CH6" s="9">
        <f>SUMIF('Task Durations'!$C$10:$C$34, "Travel (Internal)",'Task Durations'!CI10:CI34)</f>
        <v>7.5</v>
      </c>
      <c r="CI6" s="9">
        <f>SUMIF('Task Durations'!$C$10:$C$34, "Travel (Internal)",'Task Durations'!CJ10:CJ34)</f>
        <v>3.3499999999999996</v>
      </c>
      <c r="CJ6" s="9">
        <f>SUMIF('Task Durations'!$C$10:$C$34, "Travel (Internal)",'Task Durations'!CK10:CK34)</f>
        <v>4.4830000000000005</v>
      </c>
      <c r="CK6" s="9">
        <f>SUMIF('Task Durations'!$C$10:$C$34, "Travel (Internal)",'Task Durations'!CL10:CL34)</f>
        <v>4.4935000000000018</v>
      </c>
      <c r="CL6" s="9">
        <f>SUMIF('Task Durations'!$C$10:$C$34, "Travel (Internal)",'Task Durations'!CM10:CM34)</f>
        <v>4.9340000000000019</v>
      </c>
      <c r="CM6" s="9"/>
      <c r="CN6" s="9"/>
    </row>
    <row r="7" spans="1:92" x14ac:dyDescent="0.25">
      <c r="A7" s="345"/>
      <c r="B7" s="1" t="str">
        <f>'[1]Total Pop'!B6</f>
        <v>Indirect Multiplier</v>
      </c>
      <c r="C7" s="9">
        <f>(C4+C5)/C4</f>
        <v>1.5310287380258225</v>
      </c>
      <c r="D7" s="9">
        <f t="shared" ref="D7:BO7" si="0">(D4+D5)/D4</f>
        <v>1.4438931592071773</v>
      </c>
      <c r="E7" s="9">
        <f t="shared" si="0"/>
        <v>2.1547861507128308</v>
      </c>
      <c r="F7" s="9">
        <f t="shared" si="0"/>
        <v>1.8496144921027025</v>
      </c>
      <c r="G7" s="9">
        <f t="shared" si="0"/>
        <v>1.6943768161470198</v>
      </c>
      <c r="H7" s="9">
        <f t="shared" si="0"/>
        <v>1.885057471264368</v>
      </c>
      <c r="I7" s="9">
        <f t="shared" si="0"/>
        <v>1.3107328332371611</v>
      </c>
      <c r="J7" s="9">
        <f t="shared" si="0"/>
        <v>1.6563959127512236</v>
      </c>
      <c r="K7" s="9">
        <f t="shared" si="0"/>
        <v>1.6242496345898909</v>
      </c>
      <c r="L7" s="9">
        <f t="shared" si="0"/>
        <v>1.9282004643036641</v>
      </c>
      <c r="M7" s="9">
        <f t="shared" si="0"/>
        <v>1.7617326842282217</v>
      </c>
      <c r="N7" s="9">
        <f t="shared" si="0"/>
        <v>2.1180734733996802</v>
      </c>
      <c r="O7" s="9">
        <f t="shared" si="0"/>
        <v>1.2965504187763215</v>
      </c>
      <c r="P7" s="9">
        <f t="shared" si="0"/>
        <v>1.6004495410934672</v>
      </c>
      <c r="Q7" s="9">
        <f t="shared" si="0"/>
        <v>2.2221777777777776</v>
      </c>
      <c r="R7" s="9">
        <f t="shared" si="0"/>
        <v>1.7241903094588333</v>
      </c>
      <c r="S7" s="9">
        <f t="shared" si="0"/>
        <v>1.730395043036981</v>
      </c>
      <c r="T7" s="9">
        <f t="shared" si="0"/>
        <v>1.6766426648268853</v>
      </c>
      <c r="U7" s="9">
        <f t="shared" si="0"/>
        <v>1.5736091777468437</v>
      </c>
      <c r="V7" s="9">
        <f t="shared" si="0"/>
        <v>1.4596065641890934</v>
      </c>
      <c r="W7" s="9">
        <f t="shared" si="0"/>
        <v>1.6681826345573709</v>
      </c>
      <c r="X7" s="9">
        <f t="shared" si="0"/>
        <v>1.3598731618468038</v>
      </c>
      <c r="Y7" s="9">
        <f t="shared" si="0"/>
        <v>1.5861329521086491</v>
      </c>
      <c r="Z7" s="9">
        <f t="shared" si="0"/>
        <v>3.0151623145208322</v>
      </c>
      <c r="AA7" s="9">
        <f t="shared" si="0"/>
        <v>1.3168514482807558</v>
      </c>
      <c r="AB7" s="9">
        <f t="shared" si="0"/>
        <v>1.4813980316521864</v>
      </c>
      <c r="AC7" s="9">
        <f t="shared" si="0"/>
        <v>1.5723766792770801</v>
      </c>
      <c r="AD7" s="9">
        <f t="shared" si="0"/>
        <v>1.4692615833468403</v>
      </c>
      <c r="AE7" s="9">
        <f t="shared" si="0"/>
        <v>1.3905717961615849</v>
      </c>
      <c r="AF7" s="9">
        <f t="shared" si="0"/>
        <v>1.9769246767652258</v>
      </c>
      <c r="AG7" s="9">
        <f t="shared" si="0"/>
        <v>1.6806835016835018</v>
      </c>
      <c r="AH7" s="9">
        <f t="shared" si="0"/>
        <v>1.4896472930320663</v>
      </c>
      <c r="AI7" s="9">
        <f t="shared" si="0"/>
        <v>1.5551342660363323</v>
      </c>
      <c r="AJ7" s="9">
        <f t="shared" si="0"/>
        <v>1.8196319364202578</v>
      </c>
      <c r="AK7" s="9">
        <f t="shared" si="0"/>
        <v>1.525430797520426</v>
      </c>
      <c r="AL7" s="9">
        <f t="shared" si="0"/>
        <v>1.3306122448979592</v>
      </c>
      <c r="AM7" s="9">
        <f t="shared" si="0"/>
        <v>1.8125031766200763</v>
      </c>
      <c r="AN7" s="9">
        <f t="shared" si="0"/>
        <v>1.7600222689595451</v>
      </c>
      <c r="AO7" s="9">
        <f t="shared" si="0"/>
        <v>1.8238168571936266</v>
      </c>
      <c r="AP7" s="9">
        <f t="shared" si="0"/>
        <v>2.0976817281662763</v>
      </c>
      <c r="AQ7" s="9">
        <f t="shared" si="0"/>
        <v>1.3982230208645303</v>
      </c>
      <c r="AR7" s="9">
        <f t="shared" si="0"/>
        <v>1.3244539915246445</v>
      </c>
      <c r="AS7" s="9">
        <f t="shared" si="0"/>
        <v>1.4206259674161135</v>
      </c>
      <c r="AT7" s="9">
        <f t="shared" si="0"/>
        <v>1.6894528875379939</v>
      </c>
      <c r="AU7" s="9">
        <f t="shared" si="0"/>
        <v>2.6681760577110549</v>
      </c>
      <c r="AV7" s="9">
        <f t="shared" si="0"/>
        <v>1.5929710784476803</v>
      </c>
      <c r="AW7" s="9">
        <f t="shared" si="0"/>
        <v>1.2946761836160041</v>
      </c>
      <c r="AX7" s="9">
        <f t="shared" si="0"/>
        <v>1.6586027669494765</v>
      </c>
      <c r="AY7" s="9">
        <f t="shared" si="0"/>
        <v>1.335110401149791</v>
      </c>
      <c r="AZ7" s="9">
        <f t="shared" si="0"/>
        <v>1.3331218627028378</v>
      </c>
      <c r="BA7" s="9">
        <f t="shared" si="0"/>
        <v>2.2913374515155875</v>
      </c>
      <c r="BB7" s="9">
        <f t="shared" si="0"/>
        <v>1.4601258958883441</v>
      </c>
      <c r="BC7" s="9">
        <f t="shared" si="0"/>
        <v>1.4829463339435398</v>
      </c>
      <c r="BD7" s="9">
        <f t="shared" si="0"/>
        <v>1.9071768091518502</v>
      </c>
      <c r="BE7" s="9">
        <f t="shared" si="0"/>
        <v>1.6170631553941699</v>
      </c>
      <c r="BF7" s="9">
        <f t="shared" si="0"/>
        <v>1.5627908050754507</v>
      </c>
      <c r="BG7" s="9">
        <f t="shared" si="0"/>
        <v>1.4972577847753976</v>
      </c>
      <c r="BH7" s="9">
        <f t="shared" si="0"/>
        <v>1.8367260259952922</v>
      </c>
      <c r="BI7" s="9">
        <f t="shared" si="0"/>
        <v>2.0340046982708824</v>
      </c>
      <c r="BJ7" s="9">
        <f t="shared" si="0"/>
        <v>1.9223664122137405</v>
      </c>
      <c r="BK7" s="9">
        <f t="shared" si="0"/>
        <v>1.6234773776103524</v>
      </c>
      <c r="BL7" s="9">
        <f t="shared" si="0"/>
        <v>1.5004782779946086</v>
      </c>
      <c r="BM7" s="9">
        <f t="shared" si="0"/>
        <v>2.3528065731839582</v>
      </c>
      <c r="BN7" s="9">
        <f t="shared" si="0"/>
        <v>2.0250512228920079</v>
      </c>
      <c r="BO7" s="9">
        <f t="shared" si="0"/>
        <v>1.5613842442392483</v>
      </c>
      <c r="BP7" s="9">
        <f t="shared" ref="BP7:CL7" si="1">(BP4+BP5)/BP4</f>
        <v>1.7329399091377451</v>
      </c>
      <c r="BQ7" s="9">
        <f t="shared" si="1"/>
        <v>1.4569387493018993</v>
      </c>
      <c r="BR7" s="9">
        <f t="shared" si="1"/>
        <v>1.156990287089565</v>
      </c>
      <c r="BS7" s="9">
        <f t="shared" si="1"/>
        <v>1.2568375795500499</v>
      </c>
      <c r="BT7" s="9">
        <f t="shared" si="1"/>
        <v>1.2805312861116724</v>
      </c>
      <c r="BU7" s="9">
        <f t="shared" si="1"/>
        <v>1.5326160514850611</v>
      </c>
      <c r="BV7" s="9">
        <f t="shared" si="1"/>
        <v>1.4302161542289633</v>
      </c>
      <c r="BW7" s="9">
        <f t="shared" si="1"/>
        <v>2.0933147543695556</v>
      </c>
      <c r="BX7" s="9">
        <f t="shared" si="1"/>
        <v>2.8920475681902729</v>
      </c>
      <c r="BY7" s="9">
        <f t="shared" si="1"/>
        <v>1.6440959651968827</v>
      </c>
      <c r="BZ7" s="9">
        <f t="shared" si="1"/>
        <v>3.1958811101972358</v>
      </c>
      <c r="CA7" s="9">
        <f t="shared" si="1"/>
        <v>1.6949677099882396</v>
      </c>
      <c r="CB7" s="9">
        <f t="shared" si="1"/>
        <v>1.6543977534851066</v>
      </c>
      <c r="CC7" s="9">
        <f t="shared" si="1"/>
        <v>1.2737141705707522</v>
      </c>
      <c r="CD7" s="9">
        <f t="shared" si="1"/>
        <v>1.9698305084745764</v>
      </c>
      <c r="CE7" s="9">
        <f t="shared" si="1"/>
        <v>2.0557545999028757</v>
      </c>
      <c r="CF7" s="9">
        <f t="shared" si="1"/>
        <v>1.577114857515324</v>
      </c>
      <c r="CG7" s="9">
        <f t="shared" si="1"/>
        <v>2.6165934065934064</v>
      </c>
      <c r="CH7" s="9">
        <f t="shared" si="1"/>
        <v>1.3571428571428572</v>
      </c>
      <c r="CI7" s="9">
        <f t="shared" si="1"/>
        <v>1.6994042721258598</v>
      </c>
      <c r="CJ7" s="9">
        <f t="shared" si="1"/>
        <v>1.4471504465220786</v>
      </c>
      <c r="CK7" s="9">
        <f t="shared" si="1"/>
        <v>1.2220969309405996</v>
      </c>
      <c r="CL7" s="9">
        <f t="shared" si="1"/>
        <v>1.710778604067736</v>
      </c>
      <c r="CM7" s="9"/>
      <c r="CN7" s="9"/>
    </row>
    <row r="8" spans="1:92" s="198" customFormat="1" x14ac:dyDescent="0.25">
      <c r="A8" s="345"/>
      <c r="B8" s="199" t="str">
        <f>'[1]Data For Analysis'!B38</f>
        <v>Districts</v>
      </c>
      <c r="C8" s="199">
        <f>VLOOKUP(C1,Establishments!$A$2:$E$176,4)</f>
        <v>25</v>
      </c>
      <c r="D8" s="199">
        <f>VLOOKUP(D1,Establishments!$A$2:$E$176,4)</f>
        <v>90</v>
      </c>
      <c r="E8" s="199">
        <f>VLOOKUP(E1,Establishments!$A$2:$E$176,4)</f>
        <v>40</v>
      </c>
      <c r="F8" s="199">
        <f>VLOOKUP(F1,Establishments!$A$2:$E$176,4)</f>
        <v>40</v>
      </c>
      <c r="G8" s="199">
        <f>VLOOKUP(G1,Establishments!$A$2:$E$176,4)</f>
        <v>35</v>
      </c>
      <c r="H8" s="199">
        <f>VLOOKUP(H1,Establishments!$A$2:$E$176,4)</f>
        <v>50</v>
      </c>
      <c r="I8" s="199">
        <f>VLOOKUP(I1,Establishments!$A$2:$E$176,4)</f>
        <v>60</v>
      </c>
      <c r="J8" s="199">
        <f>VLOOKUP(J1,Establishments!$A$2:$E$176,4)</f>
        <v>35</v>
      </c>
      <c r="K8" s="199">
        <f>VLOOKUP(K1,Establishments!$A$2:$E$176,4)</f>
        <v>80</v>
      </c>
      <c r="L8" s="199">
        <f>VLOOKUP(L1,Establishments!$A$2:$E$176,4)</f>
        <v>90</v>
      </c>
      <c r="M8" s="199">
        <f>VLOOKUP(M1,Establishments!$A$2:$E$176,4)</f>
        <v>35</v>
      </c>
      <c r="N8" s="199">
        <f>VLOOKUP(N1,Establishments!$A$2:$E$176,4)</f>
        <v>35</v>
      </c>
      <c r="O8" s="199">
        <f>VLOOKUP(O1,Establishments!$A$2:$E$176,4)</f>
        <v>25</v>
      </c>
      <c r="P8" s="199">
        <f>VLOOKUP(P1,Establishments!$A$2:$E$176,4)</f>
        <v>60</v>
      </c>
      <c r="Q8" s="199">
        <f>VLOOKUP(Q1,Establishments!$A$2:$E$176,4)</f>
        <v>15</v>
      </c>
      <c r="R8" s="199">
        <f>VLOOKUP(R1,Establishments!$A$2:$E$176,4)</f>
        <v>60</v>
      </c>
      <c r="S8" s="199">
        <f>VLOOKUP(S1,Establishments!$A$2:$E$176,4)</f>
        <v>60</v>
      </c>
      <c r="T8" s="199">
        <f>VLOOKUP(T1,Establishments!$A$2:$E$176,4)</f>
        <v>90</v>
      </c>
      <c r="U8" s="199">
        <f>VLOOKUP(U1,Establishments!$A$2:$E$176,4)</f>
        <v>40</v>
      </c>
      <c r="V8" s="199">
        <f>VLOOKUP(V1,Establishments!$A$2:$E$176,4)</f>
        <v>15</v>
      </c>
      <c r="W8" s="199">
        <f>VLOOKUP(W1,Establishments!$A$2:$E$176,4)</f>
        <v>80</v>
      </c>
      <c r="X8" s="199">
        <f>VLOOKUP(X1,Establishments!$A$2:$E$176,4)</f>
        <v>40</v>
      </c>
      <c r="Y8" s="199">
        <f>VLOOKUP(Y1,Establishments!$A$2:$E$176,4)</f>
        <v>50</v>
      </c>
      <c r="Z8" s="199">
        <f>VLOOKUP(Z1,Establishments!$A$2:$E$176,4)</f>
        <v>60</v>
      </c>
      <c r="AA8" s="199">
        <f>VLOOKUP(AA1,Establishments!$A$2:$E$176,4)</f>
        <v>40</v>
      </c>
      <c r="AB8" s="199">
        <f>VLOOKUP(AB1,Establishments!$A$2:$E$176,4)</f>
        <v>60</v>
      </c>
      <c r="AC8" s="199">
        <f>VLOOKUP(AC1,Establishments!$A$2:$E$176,4)</f>
        <v>60</v>
      </c>
      <c r="AD8" s="199">
        <f>VLOOKUP(AD1,Establishments!$A$2:$E$176,4)</f>
        <v>15</v>
      </c>
      <c r="AE8" s="199">
        <f>VLOOKUP(AE1,Establishments!$A$2:$E$176,4)</f>
        <v>15</v>
      </c>
      <c r="AF8" s="199">
        <f>VLOOKUP(AF1,Establishments!$A$2:$E$176,4)</f>
        <v>15</v>
      </c>
      <c r="AG8" s="199">
        <f>VLOOKUP(AG1,Establishments!$A$2:$E$176,4)</f>
        <v>90</v>
      </c>
      <c r="AH8" s="199">
        <f>VLOOKUP(AH1,Establishments!$A$2:$E$176,4)</f>
        <v>40</v>
      </c>
      <c r="AI8" s="199">
        <f>VLOOKUP(AI1,Establishments!$A$2:$E$176,4)</f>
        <v>15</v>
      </c>
      <c r="AJ8" s="199">
        <f>VLOOKUP(AJ1,Establishments!$A$2:$E$176,4)</f>
        <v>15</v>
      </c>
      <c r="AK8" s="199">
        <f>VLOOKUP(AK1,Establishments!$A$2:$E$176,4)</f>
        <v>60</v>
      </c>
      <c r="AL8" s="199">
        <f>VLOOKUP(AL1,Establishments!$A$2:$E$176,4)</f>
        <v>25</v>
      </c>
      <c r="AM8" s="199">
        <f>VLOOKUP(AM1,Establishments!$A$2:$E$176,4)</f>
        <v>60</v>
      </c>
      <c r="AN8" s="199">
        <f>VLOOKUP(AN1,Establishments!$A$2:$E$176,4)</f>
        <v>50</v>
      </c>
      <c r="AO8" s="199">
        <f>VLOOKUP(AO1,Establishments!$A$2:$E$176,4)</f>
        <v>60</v>
      </c>
      <c r="AP8" s="199">
        <f>VLOOKUP(AP1,Establishments!$A$2:$E$176,4)</f>
        <v>80</v>
      </c>
      <c r="AQ8" s="199">
        <f>VLOOKUP(AQ1,Establishments!$A$2:$E$176,4)</f>
        <v>35</v>
      </c>
      <c r="AR8" s="199">
        <f>VLOOKUP(AR1,Establishments!$A$2:$E$176,4)</f>
        <v>60</v>
      </c>
      <c r="AS8" s="199">
        <f>VLOOKUP(AS1,Establishments!$A$2:$E$176,4)</f>
        <v>60</v>
      </c>
      <c r="AT8" s="199">
        <f>VLOOKUP(AT1,Establishments!$A$2:$E$176,4)</f>
        <v>15</v>
      </c>
      <c r="AU8" s="199">
        <f>VLOOKUP(AU1,Establishments!$A$2:$E$176,4)</f>
        <v>60</v>
      </c>
      <c r="AV8" s="199">
        <f>VLOOKUP(AV1,Establishments!$A$2:$E$176,4)</f>
        <v>85</v>
      </c>
      <c r="AW8" s="199">
        <f>VLOOKUP(AW1,Establishments!$A$2:$E$176,4)</f>
        <v>35</v>
      </c>
      <c r="AX8" s="199">
        <f>VLOOKUP(AX1,Establishments!$A$2:$E$176,4)</f>
        <v>90</v>
      </c>
      <c r="AY8" s="199">
        <f>VLOOKUP(AY1,Establishments!$A$2:$E$176,4)</f>
        <v>35</v>
      </c>
      <c r="AZ8" s="199">
        <f>VLOOKUP(AZ1,Establishments!$A$2:$E$176,4)</f>
        <v>40</v>
      </c>
      <c r="BA8" s="199">
        <f>VLOOKUP(BA1,Establishments!$A$2:$E$176,4)</f>
        <v>15</v>
      </c>
      <c r="BB8" s="199">
        <f>VLOOKUP(BB1,Establishments!$A$2:$E$176,4)</f>
        <v>40</v>
      </c>
      <c r="BC8" s="199">
        <f>VLOOKUP(BC1,Establishments!$A$2:$E$176,4)</f>
        <v>40</v>
      </c>
      <c r="BD8" s="199">
        <f>VLOOKUP(BD1,Establishments!$A$2:$E$176,4)</f>
        <v>15</v>
      </c>
      <c r="BE8" s="199">
        <f>VLOOKUP(BE1,Establishments!$A$2:$E$176,4)</f>
        <v>15</v>
      </c>
      <c r="BF8" s="199">
        <f>VLOOKUP(BF1,Establishments!$A$2:$E$176,4)</f>
        <v>15</v>
      </c>
      <c r="BG8" s="199">
        <f>VLOOKUP(BG1,Establishments!$A$2:$E$176,4)</f>
        <v>15</v>
      </c>
      <c r="BH8" s="199">
        <f>VLOOKUP(BH1,Establishments!$A$2:$E$176,4)</f>
        <v>15</v>
      </c>
      <c r="BI8" s="199">
        <f>VLOOKUP(BI1,Establishments!$A$2:$E$176,4)</f>
        <v>35</v>
      </c>
      <c r="BJ8" s="199">
        <f>VLOOKUP(BJ1,Establishments!$A$2:$E$176,4)</f>
        <v>60</v>
      </c>
      <c r="BK8" s="199">
        <f>VLOOKUP(BK1,Establishments!$A$2:$E$176,4)</f>
        <v>15</v>
      </c>
      <c r="BL8" s="199">
        <f>VLOOKUP(BL1,Establishments!$A$2:$E$176,4)</f>
        <v>15</v>
      </c>
      <c r="BM8" s="199">
        <f>VLOOKUP(BM1,Establishments!$A$2:$E$176,4)</f>
        <v>60</v>
      </c>
      <c r="BN8" s="199">
        <f>VLOOKUP(BN1,Establishments!$A$2:$E$176,4)</f>
        <v>15</v>
      </c>
      <c r="BO8" s="199">
        <f>VLOOKUP(BO1,Establishments!$A$2:$E$176,4)</f>
        <v>40</v>
      </c>
      <c r="BP8" s="199">
        <f>VLOOKUP(BP1,Establishments!$A$2:$E$176,4)</f>
        <v>35</v>
      </c>
      <c r="BQ8" s="199">
        <f>VLOOKUP(BQ1,Establishments!$A$2:$E$176,4)</f>
        <v>15</v>
      </c>
      <c r="BR8" s="199">
        <f>VLOOKUP(BR1,Establishments!$A$2:$E$176,4)</f>
        <v>80</v>
      </c>
      <c r="BS8" s="199">
        <f>VLOOKUP(BS1,Establishments!$A$2:$E$176,4)</f>
        <v>25</v>
      </c>
      <c r="BT8" s="199">
        <f>VLOOKUP(BT1,Establishments!$A$2:$E$176,4)</f>
        <v>5</v>
      </c>
      <c r="BU8" s="199">
        <f>VLOOKUP(BU1,Establishments!$A$2:$E$176,4)</f>
        <v>50</v>
      </c>
      <c r="BV8" s="199">
        <f>VLOOKUP(BV1,Establishments!$A$2:$E$176,4)</f>
        <v>15</v>
      </c>
      <c r="BW8" s="199">
        <f>VLOOKUP(BW1,Establishments!$A$2:$E$176,4)</f>
        <v>15</v>
      </c>
      <c r="BX8" s="199">
        <f>VLOOKUP(BX1,Establishments!$A$2:$E$176,4)</f>
        <v>15</v>
      </c>
      <c r="BY8" s="199">
        <f>VLOOKUP(BY1,Establishments!$A$2:$E$176,4)</f>
        <v>60</v>
      </c>
      <c r="BZ8" s="199">
        <f>VLOOKUP(BZ1,Establishments!$A$2:$E$176,4)</f>
        <v>15</v>
      </c>
      <c r="CA8" s="199">
        <f>VLOOKUP(CA1,Establishments!$A$2:$E$176,4)</f>
        <v>15</v>
      </c>
      <c r="CB8" s="199">
        <f>VLOOKUP(CB1,Establishments!$A$2:$E$176,4)</f>
        <v>15</v>
      </c>
      <c r="CC8" s="199">
        <f>VLOOKUP(CC1,Establishments!$A$2:$E$176,4)</f>
        <v>85</v>
      </c>
      <c r="CD8" s="199">
        <f>VLOOKUP(CD1,Establishments!$A$2:$E$176,4)</f>
        <v>5</v>
      </c>
      <c r="CE8" s="199">
        <f>VLOOKUP(CE1,Establishments!$A$2:$E$176,4)</f>
        <v>15</v>
      </c>
      <c r="CF8" s="199">
        <f>VLOOKUP(CF1,Establishments!$A$2:$E$176,4)</f>
        <v>40</v>
      </c>
      <c r="CG8" s="199">
        <f>VLOOKUP(CG1,Establishments!$A$2:$E$176,4)</f>
        <v>15</v>
      </c>
      <c r="CH8" s="199">
        <f>VLOOKUP(CH1,Establishments!$A$2:$E$176,4)</f>
        <v>40</v>
      </c>
      <c r="CI8" s="199">
        <f>VLOOKUP(CI1,Establishments!$A$2:$E$176,4)</f>
        <v>80</v>
      </c>
      <c r="CJ8" s="199">
        <f>VLOOKUP(CJ1,Establishments!$A$2:$E$176,4)</f>
        <v>50</v>
      </c>
      <c r="CK8" s="199">
        <f>VLOOKUP(CK1,Establishments!$A$2:$E$176,4)</f>
        <v>85</v>
      </c>
      <c r="CL8" s="199">
        <f>VLOOKUP(CL1,Establishments!$A$2:$E$176,4)</f>
        <v>85</v>
      </c>
      <c r="CM8" s="199"/>
      <c r="CN8" s="200"/>
    </row>
    <row r="9" spans="1:92" ht="15.75" thickBot="1" x14ac:dyDescent="0.3">
      <c r="A9" s="345"/>
    </row>
    <row r="10" spans="1:92" s="97" customFormat="1" ht="19.5" thickBot="1" x14ac:dyDescent="0.35">
      <c r="A10" s="345"/>
      <c r="B10" s="356" t="s">
        <v>342</v>
      </c>
      <c r="C10" s="357"/>
      <c r="D10" s="357"/>
      <c r="E10" s="357"/>
      <c r="F10" s="357"/>
      <c r="G10" s="357"/>
      <c r="H10" s="357"/>
      <c r="I10" s="358"/>
      <c r="J10"/>
      <c r="K10"/>
      <c r="L10"/>
      <c r="M10"/>
      <c r="N10"/>
      <c r="O10"/>
      <c r="P10"/>
      <c r="Q10"/>
      <c r="R10"/>
      <c r="S10"/>
      <c r="T10"/>
      <c r="U10"/>
      <c r="V10"/>
      <c r="W10"/>
      <c r="X10"/>
      <c r="Y10"/>
      <c r="Z10"/>
      <c r="AA10"/>
    </row>
    <row r="11" spans="1:92" s="97" customFormat="1" x14ac:dyDescent="0.25">
      <c r="A11" s="345"/>
      <c r="B11" s="242" t="s">
        <v>7</v>
      </c>
      <c r="C11" s="242"/>
      <c r="D11" s="242" t="s">
        <v>8</v>
      </c>
      <c r="E11" s="242"/>
      <c r="F11" s="242" t="s">
        <v>9</v>
      </c>
      <c r="G11" s="242"/>
      <c r="H11" s="242" t="s">
        <v>5</v>
      </c>
      <c r="I11" s="242"/>
      <c r="J11"/>
      <c r="K11"/>
      <c r="L11"/>
      <c r="M11"/>
      <c r="N11"/>
      <c r="O11"/>
      <c r="P11"/>
      <c r="Q11"/>
      <c r="R11"/>
      <c r="S11"/>
      <c r="T11"/>
      <c r="U11"/>
      <c r="V11"/>
      <c r="W11"/>
      <c r="X11"/>
      <c r="Y11"/>
      <c r="Z11"/>
      <c r="AA11"/>
    </row>
    <row r="12" spans="1:92" s="97" customFormat="1" x14ac:dyDescent="0.25">
      <c r="A12" s="345"/>
      <c r="B12" s="243"/>
      <c r="C12" s="243"/>
      <c r="D12" s="243"/>
      <c r="E12" s="243"/>
      <c r="F12" s="243"/>
      <c r="G12" s="243"/>
      <c r="H12" s="243"/>
      <c r="I12" s="243"/>
      <c r="J12"/>
      <c r="K12"/>
      <c r="L12"/>
      <c r="M12"/>
      <c r="N12"/>
      <c r="O12"/>
      <c r="P12"/>
      <c r="Q12"/>
      <c r="R12"/>
      <c r="S12"/>
      <c r="T12"/>
      <c r="U12"/>
      <c r="V12"/>
      <c r="W12"/>
      <c r="X12"/>
      <c r="Y12"/>
      <c r="Z12"/>
      <c r="AA12"/>
    </row>
    <row r="13" spans="1:92" s="97" customFormat="1" x14ac:dyDescent="0.25">
      <c r="A13" s="345"/>
      <c r="B13" s="243" t="s">
        <v>88</v>
      </c>
      <c r="C13" s="243">
        <v>36.120029166666676</v>
      </c>
      <c r="D13" s="243" t="s">
        <v>88</v>
      </c>
      <c r="E13" s="243">
        <v>21.872345075757575</v>
      </c>
      <c r="F13" s="243" t="s">
        <v>88</v>
      </c>
      <c r="G13" s="243">
        <v>6.5782799242424224</v>
      </c>
      <c r="H13" s="243" t="s">
        <v>88</v>
      </c>
      <c r="I13" s="243">
        <v>1.7081298351610938</v>
      </c>
      <c r="J13"/>
      <c r="K13"/>
      <c r="L13"/>
      <c r="M13"/>
      <c r="N13"/>
      <c r="O13"/>
      <c r="P13"/>
      <c r="Q13"/>
      <c r="R13"/>
      <c r="S13"/>
      <c r="T13"/>
      <c r="U13"/>
      <c r="V13"/>
      <c r="W13"/>
      <c r="X13"/>
      <c r="Y13"/>
      <c r="Z13"/>
      <c r="AA13"/>
    </row>
    <row r="14" spans="1:92" s="164" customFormat="1" x14ac:dyDescent="0.25">
      <c r="A14" s="345"/>
      <c r="B14" s="243" t="s">
        <v>89</v>
      </c>
      <c r="C14" s="243">
        <v>1.4638153354015047</v>
      </c>
      <c r="D14" s="243" t="s">
        <v>89</v>
      </c>
      <c r="E14" s="243">
        <v>0.81090629413607929</v>
      </c>
      <c r="F14" s="243" t="s">
        <v>89</v>
      </c>
      <c r="G14" s="243">
        <v>0.5954266850049581</v>
      </c>
      <c r="H14" s="243" t="s">
        <v>89</v>
      </c>
      <c r="I14" s="243">
        <v>4.1713597776990879E-2</v>
      </c>
      <c r="J14"/>
      <c r="K14"/>
      <c r="L14"/>
      <c r="M14"/>
      <c r="N14"/>
      <c r="O14"/>
      <c r="P14"/>
      <c r="Q14"/>
      <c r="R14"/>
      <c r="S14"/>
      <c r="T14"/>
      <c r="U14"/>
      <c r="V14"/>
      <c r="W14"/>
      <c r="X14"/>
      <c r="Y14"/>
      <c r="Z14"/>
      <c r="AA14"/>
    </row>
    <row r="15" spans="1:92" s="164" customFormat="1" x14ac:dyDescent="0.25">
      <c r="A15" s="345"/>
      <c r="B15" s="243" t="s">
        <v>90</v>
      </c>
      <c r="C15" s="243">
        <v>35.575000000000003</v>
      </c>
      <c r="D15" s="243" t="s">
        <v>90</v>
      </c>
      <c r="E15" s="243">
        <v>20.241149999999998</v>
      </c>
      <c r="F15" s="243" t="s">
        <v>90</v>
      </c>
      <c r="G15" s="243">
        <v>5.119250000000001</v>
      </c>
      <c r="H15" s="243" t="s">
        <v>90</v>
      </c>
      <c r="I15" s="243">
        <v>1.6238635061001216</v>
      </c>
      <c r="J15"/>
      <c r="K15"/>
      <c r="L15"/>
      <c r="M15"/>
      <c r="N15"/>
      <c r="O15"/>
      <c r="P15"/>
      <c r="Q15"/>
      <c r="R15"/>
      <c r="S15"/>
      <c r="T15"/>
      <c r="U15"/>
      <c r="V15"/>
      <c r="W15"/>
      <c r="X15"/>
      <c r="Y15"/>
      <c r="Z15"/>
      <c r="AA15"/>
    </row>
    <row r="16" spans="1:92" s="164" customFormat="1" x14ac:dyDescent="0.25">
      <c r="A16" s="345"/>
      <c r="B16" s="243" t="s">
        <v>91</v>
      </c>
      <c r="C16" s="243" t="e">
        <v>#N/A</v>
      </c>
      <c r="D16" s="243" t="s">
        <v>91</v>
      </c>
      <c r="E16" s="243">
        <v>21.25</v>
      </c>
      <c r="F16" s="243" t="s">
        <v>91</v>
      </c>
      <c r="G16" s="243" t="e">
        <v>#N/A</v>
      </c>
      <c r="H16" s="243" t="s">
        <v>91</v>
      </c>
      <c r="I16" s="243" t="e">
        <v>#N/A</v>
      </c>
      <c r="J16"/>
      <c r="K16"/>
      <c r="L16"/>
      <c r="M16"/>
      <c r="N16"/>
      <c r="O16"/>
      <c r="P16"/>
      <c r="Q16"/>
      <c r="R16"/>
      <c r="S16"/>
      <c r="T16"/>
      <c r="U16"/>
      <c r="V16"/>
      <c r="W16"/>
      <c r="X16"/>
      <c r="Y16"/>
      <c r="Z16"/>
      <c r="AA16"/>
    </row>
    <row r="17" spans="1:95" s="164" customFormat="1" x14ac:dyDescent="0.25">
      <c r="A17" s="345"/>
      <c r="B17" s="243" t="s">
        <v>92</v>
      </c>
      <c r="C17" s="243">
        <v>13.731805037276875</v>
      </c>
      <c r="D17" s="243" t="s">
        <v>92</v>
      </c>
      <c r="E17" s="243">
        <v>7.6069753235117599</v>
      </c>
      <c r="F17" s="243" t="s">
        <v>92</v>
      </c>
      <c r="G17" s="243">
        <v>5.5855974143333533</v>
      </c>
      <c r="H17" s="243" t="s">
        <v>92</v>
      </c>
      <c r="I17" s="243">
        <v>0.39130823282426719</v>
      </c>
      <c r="J17"/>
      <c r="K17"/>
      <c r="L17"/>
      <c r="M17"/>
      <c r="N17"/>
      <c r="O17"/>
      <c r="P17"/>
      <c r="Q17"/>
      <c r="R17"/>
      <c r="S17"/>
      <c r="T17"/>
      <c r="U17"/>
      <c r="V17"/>
      <c r="W17"/>
      <c r="X17"/>
      <c r="Y17"/>
      <c r="Z17"/>
      <c r="AA17"/>
      <c r="CN17" s="97"/>
      <c r="CO17" s="97"/>
      <c r="CP17" s="97"/>
    </row>
    <row r="18" spans="1:95" s="164" customFormat="1" x14ac:dyDescent="0.25">
      <c r="A18" s="345"/>
      <c r="B18" s="243" t="s">
        <v>93</v>
      </c>
      <c r="C18" s="243">
        <v>188.56246958178252</v>
      </c>
      <c r="D18" s="243" t="s">
        <v>93</v>
      </c>
      <c r="E18" s="243">
        <v>57.866073572516846</v>
      </c>
      <c r="F18" s="243" t="s">
        <v>93</v>
      </c>
      <c r="G18" s="243">
        <v>31.198898475007439</v>
      </c>
      <c r="H18" s="243" t="s">
        <v>93</v>
      </c>
      <c r="I18" s="243">
        <v>0.15312213307605091</v>
      </c>
      <c r="J18"/>
      <c r="K18"/>
      <c r="L18"/>
      <c r="M18"/>
      <c r="N18"/>
      <c r="O18"/>
      <c r="P18"/>
      <c r="Q18"/>
      <c r="R18"/>
      <c r="S18"/>
      <c r="T18"/>
      <c r="U18"/>
      <c r="V18"/>
      <c r="W18"/>
      <c r="X18"/>
      <c r="Y18"/>
      <c r="Z18"/>
      <c r="AA18"/>
      <c r="CN18" s="97"/>
      <c r="CO18" s="97"/>
      <c r="CP18" s="97"/>
    </row>
    <row r="19" spans="1:95" s="164" customFormat="1" x14ac:dyDescent="0.25">
      <c r="A19" s="345"/>
      <c r="B19" s="243" t="s">
        <v>94</v>
      </c>
      <c r="C19" s="243">
        <v>-0.32951100035215219</v>
      </c>
      <c r="D19" s="243" t="s">
        <v>94</v>
      </c>
      <c r="E19" s="243">
        <v>0.21853298148759714</v>
      </c>
      <c r="F19" s="243" t="s">
        <v>94</v>
      </c>
      <c r="G19" s="243">
        <v>11.361013368436145</v>
      </c>
      <c r="H19" s="243" t="s">
        <v>94</v>
      </c>
      <c r="I19" s="243">
        <v>3.4005120471393755</v>
      </c>
      <c r="J19"/>
      <c r="K19"/>
      <c r="L19"/>
      <c r="M19"/>
      <c r="N19"/>
      <c r="O19"/>
      <c r="P19"/>
      <c r="Q19"/>
      <c r="R19"/>
      <c r="S19"/>
      <c r="T19"/>
      <c r="U19"/>
      <c r="V19"/>
      <c r="W19"/>
      <c r="X19"/>
      <c r="Y19"/>
      <c r="Z19"/>
      <c r="AA19"/>
      <c r="CN19" s="97"/>
      <c r="CO19" s="97"/>
      <c r="CP19" s="97"/>
    </row>
    <row r="20" spans="1:95" s="164" customFormat="1" x14ac:dyDescent="0.25">
      <c r="A20" s="345"/>
      <c r="B20" s="243" t="s">
        <v>95</v>
      </c>
      <c r="C20" s="243">
        <v>0.16535187909983884</v>
      </c>
      <c r="D20" s="243" t="s">
        <v>95</v>
      </c>
      <c r="E20" s="243">
        <v>0.6357072520567536</v>
      </c>
      <c r="F20" s="243" t="s">
        <v>95</v>
      </c>
      <c r="G20" s="243">
        <v>2.6227906396711989</v>
      </c>
      <c r="H20" s="243" t="s">
        <v>95</v>
      </c>
      <c r="I20" s="243">
        <v>1.6667461143682851</v>
      </c>
      <c r="J20"/>
      <c r="K20"/>
      <c r="L20"/>
      <c r="M20"/>
      <c r="N20"/>
      <c r="O20"/>
      <c r="P20"/>
      <c r="Q20"/>
      <c r="R20"/>
      <c r="S20"/>
      <c r="T20"/>
      <c r="U20"/>
      <c r="V20"/>
      <c r="W20"/>
      <c r="X20"/>
      <c r="Y20"/>
      <c r="Z20"/>
      <c r="AA20"/>
      <c r="CN20" s="97"/>
      <c r="CO20" s="97"/>
      <c r="CP20" s="97"/>
    </row>
    <row r="21" spans="1:95" s="164" customFormat="1" x14ac:dyDescent="0.25">
      <c r="A21" s="345"/>
      <c r="B21" s="243" t="s">
        <v>96</v>
      </c>
      <c r="C21" s="243">
        <v>61.197800000000001</v>
      </c>
      <c r="D21" s="243" t="s">
        <v>96</v>
      </c>
      <c r="E21" s="243">
        <v>36.827299999999994</v>
      </c>
      <c r="F21" s="243" t="s">
        <v>96</v>
      </c>
      <c r="G21" s="243">
        <v>37.218299999999999</v>
      </c>
      <c r="H21" s="243" t="s">
        <v>96</v>
      </c>
      <c r="I21" s="243">
        <v>2.0388908231076708</v>
      </c>
      <c r="J21"/>
      <c r="K21"/>
      <c r="L21"/>
      <c r="M21"/>
      <c r="N21"/>
      <c r="O21"/>
      <c r="P21"/>
      <c r="Q21"/>
      <c r="R21"/>
      <c r="S21"/>
      <c r="T21"/>
      <c r="U21"/>
      <c r="V21"/>
      <c r="W21"/>
      <c r="X21"/>
      <c r="Y21"/>
      <c r="Z21"/>
      <c r="AA21"/>
      <c r="CN21" s="97"/>
      <c r="CO21" s="97"/>
      <c r="CP21" s="97"/>
    </row>
    <row r="22" spans="1:95" s="164" customFormat="1" x14ac:dyDescent="0.25">
      <c r="A22" s="345"/>
      <c r="B22" s="243" t="s">
        <v>97</v>
      </c>
      <c r="C22" s="243">
        <v>6.2006999999999994</v>
      </c>
      <c r="D22" s="243" t="s">
        <v>97</v>
      </c>
      <c r="E22" s="243">
        <v>7.3056999999999981</v>
      </c>
      <c r="F22" s="243" t="s">
        <v>97</v>
      </c>
      <c r="G22" s="243">
        <v>0.89969999999999928</v>
      </c>
      <c r="H22" s="243" t="s">
        <v>97</v>
      </c>
      <c r="I22" s="243">
        <v>1.156990287089565</v>
      </c>
      <c r="J22"/>
      <c r="K22"/>
      <c r="L22"/>
      <c r="M22"/>
      <c r="N22"/>
      <c r="O22"/>
      <c r="P22"/>
      <c r="Q22"/>
      <c r="R22"/>
      <c r="S22"/>
      <c r="T22"/>
      <c r="U22"/>
      <c r="V22"/>
      <c r="W22"/>
      <c r="X22"/>
      <c r="Y22"/>
      <c r="Z22"/>
      <c r="AA22"/>
      <c r="CN22" s="97"/>
      <c r="CO22" s="97"/>
      <c r="CP22" s="97"/>
    </row>
    <row r="23" spans="1:95" s="164" customFormat="1" x14ac:dyDescent="0.25">
      <c r="A23" s="345"/>
      <c r="B23" s="243" t="s">
        <v>98</v>
      </c>
      <c r="C23" s="243">
        <v>67.398499999999999</v>
      </c>
      <c r="D23" s="243" t="s">
        <v>98</v>
      </c>
      <c r="E23" s="243">
        <v>44.132999999999996</v>
      </c>
      <c r="F23" s="243" t="s">
        <v>98</v>
      </c>
      <c r="G23" s="243">
        <v>38.118000000000002</v>
      </c>
      <c r="H23" s="243" t="s">
        <v>98</v>
      </c>
      <c r="I23" s="243">
        <v>3.1958811101972358</v>
      </c>
      <c r="J23"/>
      <c r="K23"/>
      <c r="L23"/>
      <c r="M23"/>
      <c r="N23"/>
      <c r="O23"/>
      <c r="P23"/>
      <c r="Q23"/>
      <c r="R23"/>
      <c r="S23"/>
      <c r="T23"/>
      <c r="U23"/>
      <c r="V23"/>
      <c r="W23"/>
      <c r="X23"/>
      <c r="Y23"/>
      <c r="Z23"/>
      <c r="AA23"/>
      <c r="CN23" s="97"/>
      <c r="CO23" s="97"/>
      <c r="CP23" s="97"/>
    </row>
    <row r="24" spans="1:95" s="164" customFormat="1" x14ac:dyDescent="0.25">
      <c r="A24" s="345"/>
      <c r="B24" s="243" t="s">
        <v>84</v>
      </c>
      <c r="C24" s="243">
        <v>3178.5625666666674</v>
      </c>
      <c r="D24" s="243" t="s">
        <v>84</v>
      </c>
      <c r="E24" s="243">
        <v>1924.7663666666665</v>
      </c>
      <c r="F24" s="243" t="s">
        <v>84</v>
      </c>
      <c r="G24" s="243">
        <v>578.88863333333313</v>
      </c>
      <c r="H24" s="243" t="s">
        <v>84</v>
      </c>
      <c r="I24" s="243">
        <v>150.31542549417625</v>
      </c>
      <c r="J24"/>
      <c r="K24"/>
      <c r="L24"/>
      <c r="M24"/>
      <c r="N24"/>
      <c r="O24"/>
      <c r="P24"/>
      <c r="Q24"/>
      <c r="R24"/>
      <c r="S24"/>
      <c r="T24"/>
      <c r="U24"/>
      <c r="V24"/>
      <c r="W24"/>
      <c r="X24"/>
      <c r="Y24"/>
      <c r="Z24"/>
      <c r="AA24"/>
      <c r="CN24" s="97"/>
      <c r="CO24" s="97"/>
      <c r="CP24" s="97"/>
    </row>
    <row r="25" spans="1:95" s="164" customFormat="1" ht="15.75" thickBot="1" x14ac:dyDescent="0.3">
      <c r="A25" s="345"/>
      <c r="B25" s="244" t="s">
        <v>83</v>
      </c>
      <c r="C25" s="244">
        <v>88</v>
      </c>
      <c r="D25" s="244" t="s">
        <v>83</v>
      </c>
      <c r="E25" s="244">
        <v>88</v>
      </c>
      <c r="F25" s="244" t="s">
        <v>83</v>
      </c>
      <c r="G25" s="244">
        <v>88</v>
      </c>
      <c r="H25" s="244" t="s">
        <v>83</v>
      </c>
      <c r="I25" s="244">
        <v>88</v>
      </c>
      <c r="J25"/>
      <c r="K25"/>
      <c r="L25"/>
      <c r="M25"/>
      <c r="N25"/>
      <c r="O25"/>
      <c r="P25"/>
      <c r="Q25"/>
      <c r="R25"/>
      <c r="S25"/>
      <c r="T25"/>
      <c r="U25"/>
      <c r="V25"/>
      <c r="W25"/>
      <c r="X25"/>
      <c r="Y25"/>
      <c r="Z25"/>
      <c r="AA25"/>
      <c r="CN25" s="97"/>
      <c r="CO25" s="97"/>
      <c r="CP25" s="97"/>
    </row>
    <row r="26" spans="1:95" s="97" customFormat="1" x14ac:dyDescent="0.25">
      <c r="A26" s="345"/>
      <c r="B26"/>
      <c r="C26"/>
      <c r="D26"/>
      <c r="E26"/>
      <c r="F26"/>
      <c r="G26"/>
      <c r="H26"/>
      <c r="I26"/>
      <c r="J26"/>
      <c r="K26"/>
      <c r="L26"/>
      <c r="M26"/>
      <c r="N26"/>
      <c r="O26"/>
      <c r="P26"/>
      <c r="Q26"/>
      <c r="R26"/>
      <c r="S26"/>
      <c r="T26"/>
      <c r="U26"/>
      <c r="V26"/>
      <c r="W26"/>
      <c r="X26"/>
      <c r="Y26"/>
      <c r="Z26"/>
      <c r="AA26"/>
      <c r="CQ26" s="164"/>
    </row>
    <row r="27" spans="1:95" s="97" customFormat="1" x14ac:dyDescent="0.25">
      <c r="A27" s="345"/>
      <c r="B27"/>
      <c r="C27"/>
      <c r="D27"/>
      <c r="E27"/>
      <c r="F27"/>
      <c r="G27"/>
      <c r="H27"/>
      <c r="I27"/>
      <c r="J27"/>
      <c r="K27"/>
      <c r="L27"/>
      <c r="M27"/>
      <c r="N27"/>
      <c r="O27"/>
      <c r="P27"/>
      <c r="Q27"/>
      <c r="R27"/>
      <c r="S27"/>
      <c r="T27"/>
      <c r="U27"/>
      <c r="V27"/>
      <c r="W27"/>
      <c r="X27"/>
      <c r="Y27"/>
      <c r="Z27"/>
      <c r="AA27"/>
      <c r="CQ27" s="164"/>
    </row>
    <row r="28" spans="1:95" s="97" customFormat="1" x14ac:dyDescent="0.25">
      <c r="A28" s="345"/>
      <c r="B28"/>
      <c r="C28"/>
      <c r="D28"/>
      <c r="E28"/>
      <c r="F28"/>
      <c r="G28"/>
      <c r="H28"/>
      <c r="I28"/>
      <c r="J28"/>
      <c r="K28"/>
      <c r="L28"/>
      <c r="M28"/>
      <c r="N28"/>
      <c r="O28"/>
      <c r="P28"/>
      <c r="Q28"/>
      <c r="R28"/>
      <c r="S28"/>
      <c r="T28"/>
      <c r="U28"/>
      <c r="V28"/>
      <c r="W28"/>
      <c r="X28"/>
      <c r="Y28"/>
      <c r="Z28"/>
      <c r="AA28"/>
      <c r="CQ28" s="164"/>
    </row>
    <row r="29" spans="1:95" s="97" customFormat="1" x14ac:dyDescent="0.25">
      <c r="A29" s="345"/>
      <c r="B29"/>
      <c r="C29"/>
      <c r="D29"/>
      <c r="E29"/>
      <c r="F29"/>
      <c r="G29"/>
      <c r="H29"/>
      <c r="I29"/>
      <c r="J29"/>
      <c r="K29"/>
      <c r="L29"/>
      <c r="M29"/>
      <c r="N29"/>
      <c r="O29"/>
      <c r="P29"/>
      <c r="Q29"/>
      <c r="R29"/>
      <c r="S29"/>
      <c r="T29"/>
      <c r="U29"/>
      <c r="V29"/>
      <c r="W29"/>
      <c r="X29"/>
      <c r="Y29"/>
      <c r="Z29"/>
      <c r="AA29"/>
      <c r="CQ29" s="164"/>
    </row>
    <row r="30" spans="1:95" s="164" customFormat="1" x14ac:dyDescent="0.25">
      <c r="A30" s="345"/>
      <c r="B30"/>
      <c r="C30"/>
      <c r="D30"/>
      <c r="E30"/>
      <c r="F30"/>
      <c r="G30"/>
      <c r="H30"/>
      <c r="I30"/>
      <c r="J30"/>
      <c r="K30"/>
      <c r="L30"/>
      <c r="M30"/>
      <c r="N30"/>
      <c r="O30"/>
      <c r="P30"/>
      <c r="Q30"/>
      <c r="R30"/>
      <c r="S30"/>
      <c r="T30"/>
      <c r="U30"/>
      <c r="V30"/>
      <c r="W30"/>
      <c r="X30"/>
      <c r="Y30"/>
      <c r="Z30"/>
      <c r="AA30"/>
      <c r="CN30" s="97"/>
      <c r="CO30" s="97"/>
      <c r="CP30" s="97"/>
    </row>
    <row r="31" spans="1:95" s="164" customFormat="1" x14ac:dyDescent="0.25">
      <c r="A31" s="345"/>
      <c r="B31"/>
      <c r="C31"/>
      <c r="D31"/>
      <c r="E31"/>
      <c r="F31"/>
      <c r="G31"/>
      <c r="H31"/>
      <c r="I31"/>
      <c r="J31"/>
      <c r="K31"/>
      <c r="L31"/>
      <c r="M31"/>
      <c r="N31"/>
      <c r="O31"/>
      <c r="P31"/>
      <c r="Q31"/>
      <c r="R31"/>
      <c r="S31"/>
      <c r="T31"/>
      <c r="U31"/>
      <c r="V31"/>
      <c r="W31"/>
      <c r="X31"/>
      <c r="Y31"/>
      <c r="Z31"/>
      <c r="AA31"/>
      <c r="CN31" s="97"/>
      <c r="CO31" s="97"/>
      <c r="CP31" s="97"/>
    </row>
    <row r="32" spans="1:95" s="164" customFormat="1" x14ac:dyDescent="0.25">
      <c r="A32" s="345"/>
      <c r="B32"/>
      <c r="C32"/>
      <c r="D32"/>
      <c r="E32"/>
      <c r="F32"/>
      <c r="G32"/>
      <c r="H32"/>
      <c r="I32"/>
      <c r="J32"/>
      <c r="K32"/>
      <c r="L32"/>
      <c r="M32"/>
      <c r="N32"/>
      <c r="O32"/>
      <c r="P32"/>
      <c r="Q32"/>
      <c r="R32"/>
      <c r="S32"/>
      <c r="T32"/>
      <c r="U32"/>
      <c r="V32"/>
      <c r="W32"/>
      <c r="X32"/>
      <c r="Y32"/>
      <c r="Z32"/>
      <c r="AA32"/>
      <c r="CN32" s="97"/>
      <c r="CO32" s="97"/>
      <c r="CP32" s="97"/>
    </row>
    <row r="33" spans="1:95" s="164" customFormat="1" x14ac:dyDescent="0.25">
      <c r="A33" s="345"/>
      <c r="B33"/>
      <c r="C33"/>
      <c r="D33"/>
      <c r="E33"/>
      <c r="F33"/>
      <c r="G33"/>
      <c r="H33"/>
      <c r="I33"/>
      <c r="J33"/>
      <c r="K33"/>
      <c r="L33"/>
      <c r="M33"/>
      <c r="N33"/>
      <c r="O33"/>
      <c r="P33"/>
      <c r="Q33"/>
      <c r="R33"/>
      <c r="S33"/>
      <c r="T33"/>
      <c r="U33"/>
      <c r="V33"/>
      <c r="W33"/>
      <c r="X33"/>
      <c r="Y33"/>
      <c r="Z33"/>
      <c r="AA33"/>
      <c r="CN33" s="97"/>
      <c r="CO33" s="97"/>
      <c r="CP33" s="97"/>
    </row>
    <row r="34" spans="1:95" s="164" customFormat="1" ht="15.75" thickBot="1" x14ac:dyDescent="0.3">
      <c r="A34" s="346"/>
      <c r="B34"/>
      <c r="C34"/>
      <c r="D34"/>
      <c r="E34"/>
      <c r="F34"/>
      <c r="G34"/>
      <c r="H34"/>
      <c r="I34"/>
      <c r="J34"/>
      <c r="K34"/>
      <c r="L34"/>
      <c r="M34"/>
      <c r="N34"/>
      <c r="O34"/>
      <c r="P34"/>
      <c r="Q34"/>
      <c r="R34"/>
      <c r="S34"/>
      <c r="T34"/>
      <c r="U34"/>
      <c r="V34"/>
      <c r="W34"/>
      <c r="X34"/>
      <c r="Y34"/>
      <c r="Z34"/>
      <c r="AA34"/>
      <c r="CN34" s="97"/>
      <c r="CO34" s="97"/>
      <c r="CP34" s="97"/>
    </row>
    <row r="35" spans="1:95" s="164" customFormat="1" x14ac:dyDescent="0.25">
      <c r="A35"/>
      <c r="B35"/>
      <c r="C35"/>
      <c r="D35"/>
      <c r="E35"/>
      <c r="F35"/>
      <c r="G35"/>
      <c r="H35"/>
      <c r="I35"/>
      <c r="J35"/>
      <c r="K35"/>
      <c r="L35"/>
      <c r="M35"/>
      <c r="N35"/>
      <c r="O35"/>
      <c r="P35"/>
      <c r="Q35"/>
      <c r="R35"/>
      <c r="S35"/>
      <c r="T35"/>
      <c r="U35"/>
      <c r="V35"/>
      <c r="W35"/>
      <c r="X35"/>
      <c r="Y35"/>
      <c r="Z35"/>
      <c r="AA35"/>
      <c r="CN35" s="97"/>
      <c r="CO35" s="97"/>
      <c r="CP35" s="97"/>
    </row>
    <row r="36" spans="1:95" s="164" customFormat="1" x14ac:dyDescent="0.25">
      <c r="A36"/>
      <c r="B36"/>
      <c r="C36"/>
      <c r="D36"/>
      <c r="E36"/>
      <c r="F36"/>
      <c r="G36"/>
      <c r="H36"/>
      <c r="I36"/>
      <c r="J36"/>
      <c r="K36"/>
      <c r="L36"/>
      <c r="M36"/>
      <c r="N36"/>
      <c r="O36"/>
      <c r="P36"/>
      <c r="Q36"/>
      <c r="R36"/>
      <c r="S36"/>
      <c r="T36"/>
      <c r="U36"/>
      <c r="V36"/>
      <c r="W36"/>
      <c r="X36"/>
      <c r="Y36"/>
      <c r="Z36"/>
      <c r="AA36"/>
      <c r="CN36" s="97"/>
      <c r="CO36" s="97"/>
      <c r="CP36" s="97"/>
    </row>
    <row r="37" spans="1:95" s="164" customFormat="1" x14ac:dyDescent="0.25">
      <c r="A37"/>
      <c r="B37"/>
      <c r="C37"/>
      <c r="D37"/>
      <c r="E37"/>
      <c r="F37"/>
      <c r="G37"/>
      <c r="H37"/>
      <c r="I37"/>
      <c r="J37"/>
      <c r="K37"/>
      <c r="L37"/>
      <c r="M37"/>
      <c r="N37"/>
      <c r="O37"/>
      <c r="P37"/>
      <c r="Q37"/>
      <c r="R37"/>
      <c r="S37"/>
      <c r="T37"/>
      <c r="U37"/>
      <c r="V37"/>
      <c r="W37"/>
      <c r="X37"/>
      <c r="Y37"/>
      <c r="Z37"/>
      <c r="AA37"/>
      <c r="CN37" s="97"/>
      <c r="CO37" s="97"/>
      <c r="CP37" s="97"/>
    </row>
    <row r="38" spans="1:95" s="164" customFormat="1" x14ac:dyDescent="0.25">
      <c r="A38"/>
      <c r="B38"/>
      <c r="C38"/>
      <c r="D38"/>
      <c r="E38"/>
      <c r="F38"/>
      <c r="G38"/>
      <c r="H38"/>
      <c r="I38"/>
      <c r="J38"/>
      <c r="K38"/>
      <c r="L38"/>
      <c r="M38"/>
      <c r="N38"/>
      <c r="O38"/>
      <c r="P38"/>
      <c r="Q38"/>
      <c r="R38"/>
      <c r="S38"/>
      <c r="T38"/>
      <c r="U38"/>
      <c r="V38"/>
      <c r="W38"/>
      <c r="X38"/>
      <c r="Y38"/>
      <c r="Z38"/>
      <c r="AA38"/>
      <c r="CN38" s="97"/>
      <c r="CO38" s="97"/>
      <c r="CP38" s="97"/>
    </row>
    <row r="39" spans="1:95" s="164" customFormat="1" x14ac:dyDescent="0.25">
      <c r="A39"/>
      <c r="B39"/>
      <c r="C39"/>
      <c r="D39"/>
      <c r="E39"/>
      <c r="F39"/>
      <c r="G39"/>
      <c r="H39"/>
      <c r="I39"/>
      <c r="J39"/>
      <c r="K39"/>
      <c r="L39"/>
      <c r="M39"/>
      <c r="N39"/>
      <c r="O39"/>
      <c r="P39"/>
      <c r="Q39"/>
      <c r="R39"/>
      <c r="S39"/>
      <c r="T39"/>
      <c r="U39"/>
      <c r="V39"/>
      <c r="W39"/>
      <c r="X39"/>
      <c r="Y39"/>
      <c r="Z39"/>
      <c r="AA39"/>
      <c r="CN39" s="97"/>
      <c r="CO39" s="97"/>
      <c r="CP39" s="97"/>
    </row>
    <row r="40" spans="1:95" x14ac:dyDescent="0.25">
      <c r="B40"/>
      <c r="CN40" s="97"/>
      <c r="CO40" s="97"/>
      <c r="CP40" s="97"/>
      <c r="CQ40" s="164"/>
    </row>
    <row r="41" spans="1:95" x14ac:dyDescent="0.25">
      <c r="B41"/>
      <c r="CN41" s="97"/>
      <c r="CO41" s="97"/>
      <c r="CP41" s="97"/>
      <c r="CQ41" s="164"/>
    </row>
    <row r="42" spans="1:95" x14ac:dyDescent="0.25">
      <c r="CN42" s="97"/>
      <c r="CO42" s="97"/>
      <c r="CP42" s="97"/>
      <c r="CQ42" s="164"/>
    </row>
    <row r="43" spans="1:95" x14ac:dyDescent="0.25">
      <c r="CN43" s="97"/>
      <c r="CO43" s="97"/>
      <c r="CP43" s="97"/>
      <c r="CQ43" s="164"/>
    </row>
    <row r="44" spans="1:95" x14ac:dyDescent="0.25">
      <c r="CN44" s="97"/>
      <c r="CO44" s="97"/>
      <c r="CP44" s="97"/>
      <c r="CQ44" s="164"/>
    </row>
    <row r="45" spans="1:95" x14ac:dyDescent="0.25">
      <c r="CN45" s="97"/>
      <c r="CO45" s="97"/>
      <c r="CP45" s="97"/>
      <c r="CQ45" s="164"/>
    </row>
    <row r="46" spans="1:95" x14ac:dyDescent="0.25">
      <c r="CN46" s="97"/>
      <c r="CO46" s="97"/>
      <c r="CP46" s="97"/>
      <c r="CQ46" s="164"/>
    </row>
    <row r="47" spans="1:95" x14ac:dyDescent="0.25">
      <c r="CN47" s="97"/>
      <c r="CO47" s="97"/>
      <c r="CP47" s="97"/>
      <c r="CQ47" s="164"/>
    </row>
    <row r="48" spans="1:95" x14ac:dyDescent="0.25">
      <c r="CN48" s="97"/>
      <c r="CO48" s="97"/>
      <c r="CP48" s="97"/>
      <c r="CQ48" s="164"/>
    </row>
    <row r="49" spans="92:95" x14ac:dyDescent="0.25">
      <c r="CN49" s="97"/>
      <c r="CO49" s="97"/>
      <c r="CP49" s="97"/>
      <c r="CQ49" s="164"/>
    </row>
    <row r="50" spans="92:95" x14ac:dyDescent="0.25">
      <c r="CN50" s="97"/>
      <c r="CO50" s="97"/>
      <c r="CP50" s="97"/>
      <c r="CQ50" s="164"/>
    </row>
    <row r="51" spans="92:95" x14ac:dyDescent="0.25">
      <c r="CN51" s="97"/>
      <c r="CO51" s="97"/>
      <c r="CP51" s="97"/>
      <c r="CQ51" s="164"/>
    </row>
    <row r="52" spans="92:95" x14ac:dyDescent="0.25">
      <c r="CN52" s="97"/>
      <c r="CO52" s="97"/>
      <c r="CP52" s="97"/>
      <c r="CQ52" s="164"/>
    </row>
    <row r="53" spans="92:95" x14ac:dyDescent="0.25">
      <c r="CN53" s="97"/>
      <c r="CO53" s="97"/>
      <c r="CP53" s="97"/>
      <c r="CQ53" s="164"/>
    </row>
    <row r="54" spans="92:95" x14ac:dyDescent="0.25">
      <c r="CN54" s="97"/>
      <c r="CO54" s="97"/>
      <c r="CP54" s="97"/>
      <c r="CQ54" s="164"/>
    </row>
    <row r="55" spans="92:95" x14ac:dyDescent="0.25">
      <c r="CN55" s="97"/>
      <c r="CO55" s="97"/>
      <c r="CP55" s="97"/>
      <c r="CQ55" s="164"/>
    </row>
    <row r="56" spans="92:95" x14ac:dyDescent="0.25">
      <c r="CN56" s="97"/>
      <c r="CO56" s="97"/>
      <c r="CP56" s="97"/>
      <c r="CQ56" s="164"/>
    </row>
    <row r="57" spans="92:95" x14ac:dyDescent="0.25">
      <c r="CN57" s="97"/>
      <c r="CO57" s="97"/>
      <c r="CP57" s="97"/>
      <c r="CQ57" s="164"/>
    </row>
    <row r="58" spans="92:95" x14ac:dyDescent="0.25">
      <c r="CN58" s="97"/>
      <c r="CO58" s="97"/>
      <c r="CP58" s="97"/>
      <c r="CQ58" s="164"/>
    </row>
    <row r="59" spans="92:95" x14ac:dyDescent="0.25">
      <c r="CN59" s="97"/>
      <c r="CO59" s="97"/>
      <c r="CP59" s="97"/>
      <c r="CQ59" s="164"/>
    </row>
    <row r="60" spans="92:95" x14ac:dyDescent="0.25">
      <c r="CN60" s="97"/>
      <c r="CO60" s="97"/>
      <c r="CP60" s="97"/>
      <c r="CQ60" s="164"/>
    </row>
    <row r="61" spans="92:95" x14ac:dyDescent="0.25">
      <c r="CN61" s="97"/>
      <c r="CO61" s="97"/>
      <c r="CP61" s="97"/>
      <c r="CQ61" s="164"/>
    </row>
    <row r="62" spans="92:95" x14ac:dyDescent="0.25">
      <c r="CN62" s="97"/>
      <c r="CO62" s="97"/>
      <c r="CP62" s="97"/>
      <c r="CQ62" s="164"/>
    </row>
    <row r="63" spans="92:95" x14ac:dyDescent="0.25">
      <c r="CN63" s="97"/>
      <c r="CO63" s="97"/>
      <c r="CP63" s="97"/>
      <c r="CQ63" s="164"/>
    </row>
    <row r="64" spans="92:95" x14ac:dyDescent="0.25">
      <c r="CN64" s="97"/>
      <c r="CO64" s="97"/>
      <c r="CP64" s="97"/>
      <c r="CQ64" s="164"/>
    </row>
    <row r="65" spans="92:95" x14ac:dyDescent="0.25">
      <c r="CN65" s="97"/>
      <c r="CO65" s="97"/>
      <c r="CP65" s="97"/>
      <c r="CQ65" s="164"/>
    </row>
    <row r="66" spans="92:95" x14ac:dyDescent="0.25">
      <c r="CN66" s="97"/>
      <c r="CO66" s="97"/>
      <c r="CP66" s="97"/>
      <c r="CQ66" s="164"/>
    </row>
    <row r="67" spans="92:95" x14ac:dyDescent="0.25">
      <c r="CN67" s="97"/>
      <c r="CO67" s="97"/>
      <c r="CP67" s="97"/>
      <c r="CQ67" s="164"/>
    </row>
    <row r="68" spans="92:95" x14ac:dyDescent="0.25">
      <c r="CN68" s="97"/>
      <c r="CO68" s="97"/>
      <c r="CP68" s="97"/>
      <c r="CQ68" s="164"/>
    </row>
    <row r="69" spans="92:95" x14ac:dyDescent="0.25">
      <c r="CN69" s="97"/>
      <c r="CO69" s="97"/>
      <c r="CP69" s="97"/>
      <c r="CQ69" s="164"/>
    </row>
    <row r="70" spans="92:95" x14ac:dyDescent="0.25">
      <c r="CN70" s="97"/>
      <c r="CO70" s="97"/>
      <c r="CP70" s="97"/>
      <c r="CQ70" s="164"/>
    </row>
    <row r="71" spans="92:95" x14ac:dyDescent="0.25">
      <c r="CN71" s="97"/>
      <c r="CO71" s="97"/>
      <c r="CP71" s="97"/>
      <c r="CQ71" s="164"/>
    </row>
    <row r="72" spans="92:95" x14ac:dyDescent="0.25">
      <c r="CN72" s="97"/>
      <c r="CO72" s="97"/>
      <c r="CP72" s="97"/>
      <c r="CQ72" s="164"/>
    </row>
    <row r="73" spans="92:95" x14ac:dyDescent="0.25">
      <c r="CN73" s="97"/>
      <c r="CO73" s="97"/>
      <c r="CP73" s="97"/>
      <c r="CQ73" s="164"/>
    </row>
    <row r="74" spans="92:95" x14ac:dyDescent="0.25">
      <c r="CN74" s="97"/>
      <c r="CO74" s="97"/>
      <c r="CP74" s="97"/>
      <c r="CQ74" s="164"/>
    </row>
    <row r="75" spans="92:95" x14ac:dyDescent="0.25">
      <c r="CN75" s="97"/>
      <c r="CO75" s="97"/>
      <c r="CP75" s="97"/>
      <c r="CQ75" s="164"/>
    </row>
    <row r="76" spans="92:95" x14ac:dyDescent="0.25">
      <c r="CN76" s="97"/>
      <c r="CO76" s="97"/>
      <c r="CP76" s="97"/>
      <c r="CQ76" s="164"/>
    </row>
    <row r="77" spans="92:95" x14ac:dyDescent="0.25">
      <c r="CN77" s="97"/>
      <c r="CO77" s="97"/>
      <c r="CP77" s="97"/>
      <c r="CQ77" s="164"/>
    </row>
    <row r="78" spans="92:95" x14ac:dyDescent="0.25">
      <c r="CN78" s="97"/>
      <c r="CO78" s="97"/>
      <c r="CP78" s="97"/>
      <c r="CQ78" s="164"/>
    </row>
    <row r="79" spans="92:95" x14ac:dyDescent="0.25">
      <c r="CN79" s="97"/>
      <c r="CO79" s="97"/>
      <c r="CP79" s="97"/>
      <c r="CQ79" s="164"/>
    </row>
    <row r="80" spans="92:95" x14ac:dyDescent="0.25">
      <c r="CN80" s="97"/>
      <c r="CO80" s="97"/>
      <c r="CP80" s="97"/>
      <c r="CQ80" s="164"/>
    </row>
    <row r="81" spans="92:95" x14ac:dyDescent="0.25">
      <c r="CN81" s="97"/>
      <c r="CO81" s="97"/>
      <c r="CP81" s="97"/>
      <c r="CQ81" s="164"/>
    </row>
    <row r="82" spans="92:95" x14ac:dyDescent="0.25">
      <c r="CN82" s="97"/>
      <c r="CO82" s="97"/>
      <c r="CP82" s="97"/>
      <c r="CQ82" s="164"/>
    </row>
    <row r="83" spans="92:95" x14ac:dyDescent="0.25">
      <c r="CN83" s="97"/>
      <c r="CO83" s="97"/>
      <c r="CP83" s="97"/>
      <c r="CQ83" s="164"/>
    </row>
    <row r="84" spans="92:95" x14ac:dyDescent="0.25">
      <c r="CN84" s="97"/>
      <c r="CO84" s="97"/>
      <c r="CP84" s="97"/>
      <c r="CQ84" s="164"/>
    </row>
    <row r="85" spans="92:95" x14ac:dyDescent="0.25">
      <c r="CN85" s="97"/>
      <c r="CO85" s="97"/>
      <c r="CP85" s="97"/>
      <c r="CQ85" s="164"/>
    </row>
    <row r="86" spans="92:95" x14ac:dyDescent="0.25">
      <c r="CN86" s="97"/>
      <c r="CO86" s="97"/>
      <c r="CP86" s="97"/>
      <c r="CQ86" s="164"/>
    </row>
    <row r="87" spans="92:95" x14ac:dyDescent="0.25">
      <c r="CN87" s="97"/>
      <c r="CO87" s="97"/>
      <c r="CP87" s="97"/>
      <c r="CQ87" s="164"/>
    </row>
    <row r="88" spans="92:95" x14ac:dyDescent="0.25">
      <c r="CN88" s="97"/>
      <c r="CO88" s="97"/>
      <c r="CP88" s="97"/>
      <c r="CQ88" s="164"/>
    </row>
    <row r="89" spans="92:95" x14ac:dyDescent="0.25">
      <c r="CN89" s="97"/>
      <c r="CO89" s="97"/>
      <c r="CP89" s="97"/>
      <c r="CQ89" s="164"/>
    </row>
    <row r="90" spans="92:95" x14ac:dyDescent="0.25">
      <c r="CN90" s="97"/>
      <c r="CO90" s="97"/>
      <c r="CP90" s="97"/>
      <c r="CQ90" s="164"/>
    </row>
    <row r="91" spans="92:95" x14ac:dyDescent="0.25">
      <c r="CN91" s="97"/>
      <c r="CO91" s="97"/>
      <c r="CP91" s="97"/>
      <c r="CQ91" s="164"/>
    </row>
    <row r="92" spans="92:95" x14ac:dyDescent="0.25">
      <c r="CN92" s="97"/>
      <c r="CO92" s="97"/>
      <c r="CP92" s="97"/>
      <c r="CQ92" s="164"/>
    </row>
    <row r="93" spans="92:95" x14ac:dyDescent="0.25">
      <c r="CN93" s="97"/>
      <c r="CO93" s="97"/>
      <c r="CP93" s="97"/>
      <c r="CQ93" s="164"/>
    </row>
    <row r="94" spans="92:95" x14ac:dyDescent="0.25">
      <c r="CN94" s="97"/>
      <c r="CO94" s="97"/>
      <c r="CP94" s="97"/>
      <c r="CQ94" s="164"/>
    </row>
    <row r="95" spans="92:95" x14ac:dyDescent="0.25">
      <c r="CN95" s="97"/>
      <c r="CO95" s="97"/>
      <c r="CP95" s="97"/>
      <c r="CQ95" s="164"/>
    </row>
    <row r="96" spans="92:95" x14ac:dyDescent="0.25">
      <c r="CN96" s="97"/>
      <c r="CO96" s="97"/>
      <c r="CP96" s="97"/>
      <c r="CQ96" s="164"/>
    </row>
    <row r="97" spans="92:95" x14ac:dyDescent="0.25">
      <c r="CN97" s="97"/>
      <c r="CO97" s="97"/>
      <c r="CP97" s="97"/>
      <c r="CQ97" s="164"/>
    </row>
    <row r="98" spans="92:95" x14ac:dyDescent="0.25">
      <c r="CN98" s="97"/>
      <c r="CO98" s="97"/>
      <c r="CP98" s="97"/>
      <c r="CQ98" s="164"/>
    </row>
    <row r="99" spans="92:95" x14ac:dyDescent="0.25">
      <c r="CN99" s="97"/>
      <c r="CO99" s="97"/>
      <c r="CP99" s="97"/>
      <c r="CQ99" s="164"/>
    </row>
    <row r="100" spans="92:95" x14ac:dyDescent="0.25">
      <c r="CN100" s="97"/>
      <c r="CO100" s="97"/>
      <c r="CP100" s="97"/>
      <c r="CQ100" s="164"/>
    </row>
    <row r="101" spans="92:95" x14ac:dyDescent="0.25">
      <c r="CN101" s="97"/>
      <c r="CO101" s="97"/>
      <c r="CP101" s="97"/>
      <c r="CQ101" s="164"/>
    </row>
    <row r="102" spans="92:95" x14ac:dyDescent="0.25">
      <c r="CN102" s="97"/>
      <c r="CO102" s="97"/>
      <c r="CP102" s="97"/>
      <c r="CQ102" s="164"/>
    </row>
    <row r="103" spans="92:95" x14ac:dyDescent="0.25">
      <c r="CN103" s="97"/>
      <c r="CO103" s="97"/>
      <c r="CP103" s="97"/>
      <c r="CQ103" s="164"/>
    </row>
    <row r="104" spans="92:95" x14ac:dyDescent="0.25">
      <c r="CN104" s="97"/>
      <c r="CO104" s="97"/>
      <c r="CP104" s="97"/>
      <c r="CQ104" s="164"/>
    </row>
    <row r="105" spans="92:95" x14ac:dyDescent="0.25">
      <c r="CN105" s="97"/>
      <c r="CO105" s="97"/>
      <c r="CP105" s="97"/>
      <c r="CQ105" s="164"/>
    </row>
  </sheetData>
  <mergeCells count="2">
    <mergeCell ref="A1:A34"/>
    <mergeCell ref="B10:I10"/>
  </mergeCells>
  <pageMargins left="0.7" right="0.7" top="0.75" bottom="0.75" header="0.3" footer="0.3"/>
  <pageSetup orientation="portrait" horizontalDpi="4294967293"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N51"/>
  <sheetViews>
    <sheetView zoomScale="70" zoomScaleNormal="70" workbookViewId="0">
      <pane xSplit="2" ySplit="1" topLeftCell="C2" activePane="bottomRight" state="frozen"/>
      <selection pane="topRight" activeCell="C1" sqref="C1"/>
      <selection pane="bottomLeft" activeCell="A2" sqref="A2"/>
      <selection pane="bottomRight" activeCell="CO16" sqref="CO16"/>
    </sheetView>
  </sheetViews>
  <sheetFormatPr defaultRowHeight="15" x14ac:dyDescent="0.25"/>
  <cols>
    <col min="1" max="1" width="36.140625" customWidth="1"/>
    <col min="2" max="2" width="26.5703125" bestFit="1" customWidth="1"/>
    <col min="3" max="3" width="12" bestFit="1" customWidth="1"/>
    <col min="4" max="4" width="9.7109375" bestFit="1" customWidth="1"/>
    <col min="5" max="5" width="12" bestFit="1" customWidth="1"/>
    <col min="6" max="6" width="10.140625" bestFit="1" customWidth="1"/>
    <col min="7" max="7" width="12" bestFit="1" customWidth="1"/>
    <col min="8" max="8" width="11" bestFit="1" customWidth="1"/>
    <col min="9" max="9" width="9.7109375" bestFit="1" customWidth="1"/>
    <col min="15" max="15" width="10.140625" bestFit="1" customWidth="1"/>
    <col min="26" max="26" width="10.140625" bestFit="1" customWidth="1"/>
    <col min="54" max="54" width="10.140625" bestFit="1" customWidth="1"/>
  </cols>
  <sheetData>
    <row r="1" spans="1:92" ht="15" customHeight="1" x14ac:dyDescent="0.25">
      <c r="A1" s="344" t="s">
        <v>362</v>
      </c>
      <c r="B1" s="6" t="s">
        <v>239</v>
      </c>
      <c r="C1" s="12" t="str">
        <f>'Task Durations'!D1</f>
        <v>001-13</v>
      </c>
      <c r="D1" s="12" t="str">
        <f>'Task Durations'!E1</f>
        <v>002-13</v>
      </c>
      <c r="E1" s="12" t="str">
        <f>'Task Durations'!F1</f>
        <v>003-13</v>
      </c>
      <c r="F1" s="12" t="str">
        <f>'Task Durations'!G1</f>
        <v>004-13</v>
      </c>
      <c r="G1" s="12" t="str">
        <f>'Task Durations'!H1</f>
        <v>005-13</v>
      </c>
      <c r="H1" s="12" t="str">
        <f>'Task Durations'!I1</f>
        <v>006-13</v>
      </c>
      <c r="I1" s="12" t="str">
        <f>'Task Durations'!J1</f>
        <v>007-13</v>
      </c>
      <c r="J1" s="12" t="str">
        <f>'Task Durations'!K1</f>
        <v>008-13</v>
      </c>
      <c r="K1" s="12" t="str">
        <f>'Task Durations'!L1</f>
        <v>009-13</v>
      </c>
      <c r="L1" s="12" t="str">
        <f>'Task Durations'!M1</f>
        <v>010-13</v>
      </c>
      <c r="M1" s="12" t="str">
        <f>'Task Durations'!N1</f>
        <v>011-13</v>
      </c>
      <c r="N1" s="12" t="str">
        <f>'Task Durations'!O1</f>
        <v>012-13</v>
      </c>
      <c r="O1" s="12" t="str">
        <f>'Task Durations'!P1</f>
        <v>013-13</v>
      </c>
      <c r="P1" s="12" t="str">
        <f>'Task Durations'!Q1</f>
        <v>014-13</v>
      </c>
      <c r="Q1" s="12" t="str">
        <f>'Task Durations'!R1</f>
        <v>015-13</v>
      </c>
      <c r="R1" s="12" t="str">
        <f>'Task Durations'!S1</f>
        <v>017-13</v>
      </c>
      <c r="S1" s="12" t="str">
        <f>'Task Durations'!T1</f>
        <v>018-13</v>
      </c>
      <c r="T1" s="12" t="str">
        <f>'Task Durations'!U1</f>
        <v>019-13</v>
      </c>
      <c r="U1" s="12" t="str">
        <f>'Task Durations'!V1</f>
        <v>020-13</v>
      </c>
      <c r="V1" s="12" t="str">
        <f>'Task Durations'!W1</f>
        <v>021-13</v>
      </c>
      <c r="W1" s="12" t="str">
        <f>'Task Durations'!X1</f>
        <v>022-13</v>
      </c>
      <c r="X1" s="12" t="str">
        <f>'Task Durations'!Y1</f>
        <v>023-13</v>
      </c>
      <c r="Y1" s="12" t="str">
        <f>'Task Durations'!Z1</f>
        <v>024-13</v>
      </c>
      <c r="Z1" s="12" t="str">
        <f>'Task Durations'!AA1</f>
        <v>026-13</v>
      </c>
      <c r="AA1" s="12" t="str">
        <f>'Task Durations'!AB1</f>
        <v>027-13</v>
      </c>
      <c r="AB1" s="12" t="str">
        <f>'Task Durations'!AC1</f>
        <v>028-13</v>
      </c>
      <c r="AC1" s="12" t="str">
        <f>'Task Durations'!AD1</f>
        <v>029-13</v>
      </c>
      <c r="AD1" s="12" t="str">
        <f>'Task Durations'!AE1</f>
        <v>030-13</v>
      </c>
      <c r="AE1" s="12" t="str">
        <f>'Task Durations'!AF1</f>
        <v>031-13</v>
      </c>
      <c r="AF1" s="12" t="str">
        <f>'Task Durations'!AG1</f>
        <v>032-13</v>
      </c>
      <c r="AG1" s="12" t="str">
        <f>'Task Durations'!AH1</f>
        <v>033-13</v>
      </c>
      <c r="AH1" s="12" t="str">
        <f>'Task Durations'!AI1</f>
        <v>034-13</v>
      </c>
      <c r="AI1" s="12" t="str">
        <f>'Task Durations'!AJ1</f>
        <v>035-13</v>
      </c>
      <c r="AJ1" s="12" t="str">
        <f>'Task Durations'!AK1</f>
        <v>036-13</v>
      </c>
      <c r="AK1" s="12" t="str">
        <f>'Task Durations'!AL1</f>
        <v>037-13</v>
      </c>
      <c r="AL1" s="12" t="str">
        <f>'Task Durations'!AM1</f>
        <v>038-13</v>
      </c>
      <c r="AM1" s="12" t="str">
        <f>'Task Durations'!AN1</f>
        <v>039-13</v>
      </c>
      <c r="AN1" s="12" t="str">
        <f>'Task Durations'!AO1</f>
        <v>040-13</v>
      </c>
      <c r="AO1" s="12" t="str">
        <f>'Task Durations'!AP1</f>
        <v>041-13</v>
      </c>
      <c r="AP1" s="12" t="str">
        <f>'Task Durations'!AQ1</f>
        <v>042-13</v>
      </c>
      <c r="AQ1" s="12" t="str">
        <f>'Task Durations'!AR1</f>
        <v>043-13</v>
      </c>
      <c r="AR1" s="12" t="str">
        <f>'Task Durations'!AS1</f>
        <v>045-13</v>
      </c>
      <c r="AS1" s="12" t="str">
        <f>'Task Durations'!AT1</f>
        <v>046-13</v>
      </c>
      <c r="AT1" s="12" t="str">
        <f>'Task Durations'!AU1</f>
        <v>047-13</v>
      </c>
      <c r="AU1" s="12" t="str">
        <f>'Task Durations'!AV1</f>
        <v>048-13</v>
      </c>
      <c r="AV1" s="12" t="str">
        <f>'Task Durations'!AW1</f>
        <v>049-13</v>
      </c>
      <c r="AW1" s="12" t="str">
        <f>'Task Durations'!AX1</f>
        <v>050-13</v>
      </c>
      <c r="AX1" s="12" t="str">
        <f>'Task Durations'!AY1</f>
        <v>052-13</v>
      </c>
      <c r="AY1" s="12" t="str">
        <f>'Task Durations'!AZ1</f>
        <v>053-13</v>
      </c>
      <c r="AZ1" s="12" t="str">
        <f>'Task Durations'!BA1</f>
        <v>054-13</v>
      </c>
      <c r="BA1" s="12" t="str">
        <f>'Task Durations'!BB1</f>
        <v>055-13</v>
      </c>
      <c r="BB1" s="12" t="str">
        <f>'Task Durations'!BC1</f>
        <v>057-13</v>
      </c>
      <c r="BC1" s="12" t="str">
        <f>'Task Durations'!BD1</f>
        <v>058-13</v>
      </c>
      <c r="BD1" s="12" t="str">
        <f>'Task Durations'!BE1</f>
        <v>059-13</v>
      </c>
      <c r="BE1" s="12" t="str">
        <f>'Task Durations'!BF1</f>
        <v>060-13</v>
      </c>
      <c r="BF1" s="12" t="str">
        <f>'Task Durations'!BG1</f>
        <v>061-13</v>
      </c>
      <c r="BG1" s="12" t="str">
        <f>'Task Durations'!BH1</f>
        <v>062-13</v>
      </c>
      <c r="BH1" s="12" t="str">
        <f>'Task Durations'!BI1</f>
        <v>063-13</v>
      </c>
      <c r="BI1" s="12" t="str">
        <f>'Task Durations'!BJ1</f>
        <v>064-13</v>
      </c>
      <c r="BJ1" s="12" t="str">
        <f>'Task Durations'!BK1</f>
        <v>065-13</v>
      </c>
      <c r="BK1" s="12" t="str">
        <f>'Task Durations'!BL1</f>
        <v>067-13</v>
      </c>
      <c r="BL1" s="12" t="str">
        <f>'Task Durations'!BM1</f>
        <v>068-13</v>
      </c>
      <c r="BM1" s="12" t="str">
        <f>'Task Durations'!BN1</f>
        <v>069-13</v>
      </c>
      <c r="BN1" s="12" t="str">
        <f>'Task Durations'!BO1</f>
        <v>070-13</v>
      </c>
      <c r="BO1" s="12" t="str">
        <f>'Task Durations'!BP1</f>
        <v>071-13</v>
      </c>
      <c r="BP1" s="12" t="str">
        <f>'Task Durations'!BQ1</f>
        <v>072-13</v>
      </c>
      <c r="BQ1" s="12" t="str">
        <f>'Task Durations'!BR1</f>
        <v>073-13</v>
      </c>
      <c r="BR1" s="12" t="str">
        <f>'Task Durations'!BS1</f>
        <v>074-13</v>
      </c>
      <c r="BS1" s="12" t="str">
        <f>'Task Durations'!BT1</f>
        <v>075-13</v>
      </c>
      <c r="BT1" s="12" t="str">
        <f>'Task Durations'!BU1</f>
        <v>076-13</v>
      </c>
      <c r="BU1" s="12" t="str">
        <f>'Task Durations'!BV1</f>
        <v>077-13</v>
      </c>
      <c r="BV1" s="12" t="str">
        <f>'Task Durations'!BW1</f>
        <v>078-13</v>
      </c>
      <c r="BW1" s="12" t="str">
        <f>'Task Durations'!BX1</f>
        <v>079-13</v>
      </c>
      <c r="BX1" s="12" t="str">
        <f>'Task Durations'!BY1</f>
        <v>080-13</v>
      </c>
      <c r="BY1" s="12" t="str">
        <f>'Task Durations'!BZ1</f>
        <v>081-13</v>
      </c>
      <c r="BZ1" s="12" t="str">
        <f>'Task Durations'!CA1</f>
        <v>082-13</v>
      </c>
      <c r="CA1" s="12" t="str">
        <f>'Task Durations'!CB1</f>
        <v>083-13</v>
      </c>
      <c r="CB1" s="12" t="str">
        <f>'Task Durations'!CC1</f>
        <v>084-13</v>
      </c>
      <c r="CC1" s="12" t="str">
        <f>'Task Durations'!CD1</f>
        <v>085-13</v>
      </c>
      <c r="CD1" s="12" t="str">
        <f>'Task Durations'!CE1</f>
        <v>086-13</v>
      </c>
      <c r="CE1" s="12" t="str">
        <f>'Task Durations'!CF1</f>
        <v>087-13</v>
      </c>
      <c r="CF1" s="12" t="str">
        <f>'Task Durations'!CG1</f>
        <v>088-13</v>
      </c>
      <c r="CG1" s="12" t="str">
        <f>'Task Durations'!CH1</f>
        <v>089-13</v>
      </c>
      <c r="CH1" s="12" t="str">
        <f>'Task Durations'!CI1</f>
        <v>090-13</v>
      </c>
      <c r="CI1" s="12" t="str">
        <f>'Task Durations'!CJ1</f>
        <v>091-13</v>
      </c>
      <c r="CJ1" s="12" t="str">
        <f>'Task Durations'!CK1</f>
        <v>092-13</v>
      </c>
      <c r="CK1" s="12" t="str">
        <f>'Task Durations'!CL1</f>
        <v>093-13</v>
      </c>
      <c r="CL1" s="12" t="str">
        <f>'Task Durations'!CM1</f>
        <v>094-13</v>
      </c>
      <c r="CM1" s="12"/>
      <c r="CN1" s="12"/>
    </row>
    <row r="2" spans="1:92" x14ac:dyDescent="0.25">
      <c r="A2" s="345"/>
      <c r="B2" s="13" t="s">
        <v>11</v>
      </c>
      <c r="C2" s="27">
        <f>'Task Durations'!D9</f>
        <v>35000</v>
      </c>
      <c r="D2" s="27">
        <f>'Task Durations'!E9</f>
        <v>61000</v>
      </c>
      <c r="E2" s="27">
        <f>'Task Durations'!F9</f>
        <v>14000</v>
      </c>
      <c r="F2" s="27">
        <f>'Task Durations'!G9</f>
        <v>170000</v>
      </c>
      <c r="G2" s="27">
        <f>'Task Durations'!H9</f>
        <v>4750</v>
      </c>
      <c r="H2" s="27">
        <f>'Task Durations'!I9</f>
        <v>118000</v>
      </c>
      <c r="I2" s="27">
        <f>'Task Durations'!J9</f>
        <v>3880</v>
      </c>
      <c r="J2" s="27">
        <f>'Task Durations'!K9</f>
        <v>7000</v>
      </c>
      <c r="K2" s="27">
        <f>'Task Durations'!L9</f>
        <v>2400</v>
      </c>
      <c r="L2" s="27">
        <f>'Task Durations'!M9</f>
        <v>7764</v>
      </c>
      <c r="M2" s="27">
        <f>'Task Durations'!N9</f>
        <v>3450</v>
      </c>
      <c r="N2" s="27">
        <f>'Task Durations'!O9</f>
        <v>6000</v>
      </c>
      <c r="O2" s="27">
        <f>'Task Durations'!P9</f>
        <v>223200</v>
      </c>
      <c r="P2" s="27">
        <f>'Task Durations'!Q9</f>
        <v>45000</v>
      </c>
      <c r="Q2" s="27">
        <f>'Task Durations'!R9</f>
        <v>16000</v>
      </c>
      <c r="R2" s="27">
        <f>'Task Durations'!S9</f>
        <v>1000</v>
      </c>
      <c r="S2" s="27">
        <f>'Task Durations'!T9</f>
        <v>7000</v>
      </c>
      <c r="T2" s="27">
        <f>'Task Durations'!U9</f>
        <v>2500</v>
      </c>
      <c r="U2" s="27">
        <f>'Task Durations'!V9</f>
        <v>20000</v>
      </c>
      <c r="V2" s="27">
        <f>'Task Durations'!W9</f>
        <v>29568</v>
      </c>
      <c r="W2" s="27">
        <f>'Task Durations'!X9</f>
        <v>10000</v>
      </c>
      <c r="X2" s="27">
        <f>'Task Durations'!Y9</f>
        <v>566670</v>
      </c>
      <c r="Y2" s="27">
        <f>'Task Durations'!Z9</f>
        <v>500000</v>
      </c>
      <c r="Z2" s="27">
        <f>'Task Durations'!AA9</f>
        <v>3600</v>
      </c>
      <c r="AA2" s="27">
        <f>'Task Durations'!AB9</f>
        <v>11579</v>
      </c>
      <c r="AB2" s="27">
        <f>'Task Durations'!AC9</f>
        <v>3821</v>
      </c>
      <c r="AC2" s="27">
        <f>'Task Durations'!AD9</f>
        <v>3328</v>
      </c>
      <c r="AD2" s="27">
        <f>'Task Durations'!AE9</f>
        <v>268000</v>
      </c>
      <c r="AE2" s="27">
        <f>'Task Durations'!AF9</f>
        <v>121200</v>
      </c>
      <c r="AF2" s="27">
        <f>'Task Durations'!AG9</f>
        <v>524000</v>
      </c>
      <c r="AG2" s="27">
        <f>'Task Durations'!AH9</f>
        <v>3200</v>
      </c>
      <c r="AH2" s="27">
        <f>'Task Durations'!AI9</f>
        <v>300</v>
      </c>
      <c r="AI2" s="27">
        <f>'Task Durations'!AJ9</f>
        <v>143220</v>
      </c>
      <c r="AJ2" s="27">
        <f>'Task Durations'!AK9</f>
        <v>750000</v>
      </c>
      <c r="AK2" s="27">
        <f>'Task Durations'!AL9</f>
        <v>18500</v>
      </c>
      <c r="AL2" s="27">
        <f>'Task Durations'!AM9</f>
        <v>54000</v>
      </c>
      <c r="AM2" s="27">
        <f>'Task Durations'!AN9</f>
        <v>2850</v>
      </c>
      <c r="AN2" s="27">
        <f>'Task Durations'!AO9</f>
        <v>3225</v>
      </c>
      <c r="AO2" s="27">
        <f>'Task Durations'!AP9</f>
        <v>9800</v>
      </c>
      <c r="AP2" s="27">
        <f>'Task Durations'!AQ9</f>
        <v>27958</v>
      </c>
      <c r="AQ2" s="27">
        <f>'Task Durations'!AR9</f>
        <v>738038</v>
      </c>
      <c r="AR2" s="27">
        <f>'Task Durations'!AS9</f>
        <v>11000</v>
      </c>
      <c r="AS2" s="27">
        <f>'Task Durations'!AT9</f>
        <v>153395</v>
      </c>
      <c r="AT2" s="27">
        <f>'Task Durations'!AU9</f>
        <v>688202</v>
      </c>
      <c r="AU2" s="27">
        <f>'Task Durations'!AV9</f>
        <v>4000</v>
      </c>
      <c r="AV2" s="27">
        <f>'Task Durations'!AW9</f>
        <v>9200</v>
      </c>
      <c r="AW2" s="27">
        <f>'Task Durations'!AX9</f>
        <v>380489</v>
      </c>
      <c r="AX2" s="27">
        <f>'Task Durations'!AY9</f>
        <v>22000</v>
      </c>
      <c r="AY2" s="27">
        <f>'Task Durations'!AZ9</f>
        <v>474000</v>
      </c>
      <c r="AZ2" s="27">
        <f>'Task Durations'!BA9</f>
        <v>50000</v>
      </c>
      <c r="BA2" s="27">
        <f>'Task Durations'!BB9</f>
        <v>0</v>
      </c>
      <c r="BB2" s="27">
        <f>'Task Durations'!BC9</f>
        <v>50000</v>
      </c>
      <c r="BC2" s="27">
        <f>'Task Durations'!BD9</f>
        <v>50000</v>
      </c>
      <c r="BD2" s="27">
        <f>'Task Durations'!BE9</f>
        <v>750000</v>
      </c>
      <c r="BE2" s="27">
        <f>'Task Durations'!BF9</f>
        <v>750000</v>
      </c>
      <c r="BF2" s="27">
        <f>'Task Durations'!BG9</f>
        <v>4900</v>
      </c>
      <c r="BG2" s="27">
        <f>'Task Durations'!BH9</f>
        <v>6050</v>
      </c>
      <c r="BH2" s="27">
        <f>'Task Durations'!BI9</f>
        <v>5200</v>
      </c>
      <c r="BI2" s="27">
        <f>'Task Durations'!BJ9</f>
        <v>2750</v>
      </c>
      <c r="BJ2" s="27">
        <f>'Task Durations'!BK9</f>
        <v>3000</v>
      </c>
      <c r="BK2" s="27">
        <f>'Task Durations'!BL9</f>
        <v>117000</v>
      </c>
      <c r="BL2" s="27">
        <f>'Task Durations'!BM9</f>
        <v>12220</v>
      </c>
      <c r="BM2" s="27">
        <f>'Task Durations'!BN9</f>
        <v>4800</v>
      </c>
      <c r="BN2" s="27">
        <f>'Task Durations'!BO9</f>
        <v>8000</v>
      </c>
      <c r="BO2" s="27">
        <f>'Task Durations'!BP9</f>
        <v>928300</v>
      </c>
      <c r="BP2" s="27">
        <f>'Task Durations'!BQ9</f>
        <v>825000</v>
      </c>
      <c r="BQ2" s="27">
        <f>'Task Durations'!BR9</f>
        <v>800</v>
      </c>
      <c r="BR2" s="27">
        <f>'Task Durations'!BS9</f>
        <v>25792</v>
      </c>
      <c r="BS2" s="27">
        <f>'Task Durations'!BT9</f>
        <v>0</v>
      </c>
      <c r="BT2" s="27">
        <f>'Task Durations'!BU9</f>
        <v>320964</v>
      </c>
      <c r="BU2" s="27">
        <f>'Task Durations'!BV9</f>
        <v>10520</v>
      </c>
      <c r="BV2" s="27">
        <f>'Task Durations'!BW9</f>
        <v>15000</v>
      </c>
      <c r="BW2" s="27">
        <f>'Task Durations'!BX9</f>
        <v>8860</v>
      </c>
      <c r="BX2" s="27">
        <f>'Task Durations'!BY9</f>
        <v>7021</v>
      </c>
      <c r="BY2" s="27">
        <f>'Task Durations'!BZ9</f>
        <v>40000</v>
      </c>
      <c r="BZ2" s="27">
        <f>'Task Durations'!CA9</f>
        <v>5000</v>
      </c>
      <c r="CA2" s="27">
        <f>'Task Durations'!CB9</f>
        <v>3000</v>
      </c>
      <c r="CB2" s="27">
        <f>'Task Durations'!CC9</f>
        <v>15000</v>
      </c>
      <c r="CC2" s="27">
        <f>'Task Durations'!CD9</f>
        <v>154000</v>
      </c>
      <c r="CD2" s="27">
        <f>'Task Durations'!CE9</f>
        <v>245000</v>
      </c>
      <c r="CE2" s="27">
        <f>'Task Durations'!CF9</f>
        <v>3631</v>
      </c>
      <c r="CF2" s="27">
        <f>'Task Durations'!CG9</f>
        <v>38900</v>
      </c>
      <c r="CG2" s="27">
        <f>'Task Durations'!CH9</f>
        <v>11000</v>
      </c>
      <c r="CH2" s="27">
        <f>'Task Durations'!CI9</f>
        <v>33000</v>
      </c>
      <c r="CI2" s="27">
        <f>'Task Durations'!CJ9</f>
        <v>3000</v>
      </c>
      <c r="CJ2" s="27">
        <f>'Task Durations'!CK9</f>
        <v>1800</v>
      </c>
      <c r="CK2" s="27">
        <f>'Task Durations'!CL9</f>
        <v>20000</v>
      </c>
      <c r="CL2" s="27">
        <f>'Task Durations'!CM9</f>
        <v>6935</v>
      </c>
      <c r="CM2" s="27"/>
      <c r="CN2" s="27"/>
    </row>
    <row r="3" spans="1:92" s="29" customFormat="1" x14ac:dyDescent="0.25">
      <c r="A3" s="345"/>
      <c r="B3" s="7" t="s">
        <v>70</v>
      </c>
      <c r="C3" s="98" t="str">
        <f>'Task Durations'!D41</f>
        <v>Large</v>
      </c>
      <c r="D3" s="98" t="str">
        <f>'Task Durations'!E41</f>
        <v>Large</v>
      </c>
      <c r="E3" s="98" t="str">
        <f>'Task Durations'!F41</f>
        <v>Medium</v>
      </c>
      <c r="F3" s="98" t="str">
        <f>'Task Durations'!G41</f>
        <v>Large</v>
      </c>
      <c r="G3" s="98" t="str">
        <f>'Task Durations'!H41</f>
        <v>Small</v>
      </c>
      <c r="H3" s="98" t="str">
        <f>'Task Durations'!I41</f>
        <v>Large</v>
      </c>
      <c r="I3" s="98" t="str">
        <f>'Task Durations'!J41</f>
        <v>Small</v>
      </c>
      <c r="J3" s="98" t="str">
        <f>'Task Durations'!K41</f>
        <v>Medium</v>
      </c>
      <c r="K3" s="98" t="str">
        <f>'Task Durations'!L41</f>
        <v>Small</v>
      </c>
      <c r="L3" s="98" t="str">
        <f>'Task Durations'!M41</f>
        <v>Medium</v>
      </c>
      <c r="M3" s="98" t="str">
        <f>'Task Durations'!N41</f>
        <v>Small</v>
      </c>
      <c r="N3" s="98" t="str">
        <f>'Task Durations'!O41</f>
        <v>Medium</v>
      </c>
      <c r="O3" s="98" t="str">
        <f>'Task Durations'!P41</f>
        <v>Large</v>
      </c>
      <c r="P3" s="98" t="str">
        <f>'Task Durations'!Q41</f>
        <v>Large</v>
      </c>
      <c r="Q3" s="98" t="str">
        <f>'Task Durations'!R41</f>
        <v>Medium</v>
      </c>
      <c r="R3" s="98" t="str">
        <f>'Task Durations'!S41</f>
        <v>Small</v>
      </c>
      <c r="S3" s="98" t="str">
        <f>'Task Durations'!T41</f>
        <v>Medium</v>
      </c>
      <c r="T3" s="98" t="str">
        <f>'Task Durations'!U41</f>
        <v>Small</v>
      </c>
      <c r="U3" s="98" t="str">
        <f>'Task Durations'!V41</f>
        <v>Medium</v>
      </c>
      <c r="V3" s="98" t="str">
        <f>'Task Durations'!W41</f>
        <v>Medium</v>
      </c>
      <c r="W3" s="98" t="str">
        <f>'Task Durations'!X41</f>
        <v>Medium</v>
      </c>
      <c r="X3" s="98" t="str">
        <f>'Task Durations'!Y41</f>
        <v>Large</v>
      </c>
      <c r="Y3" s="98" t="str">
        <f>'Task Durations'!Z41</f>
        <v>Large</v>
      </c>
      <c r="Z3" s="98" t="str">
        <f>'Task Durations'!AA41</f>
        <v>Small</v>
      </c>
      <c r="AA3" s="98" t="str">
        <f>'Task Durations'!AB41</f>
        <v>Medium</v>
      </c>
      <c r="AB3" s="98" t="str">
        <f>'Task Durations'!AC41</f>
        <v>Small</v>
      </c>
      <c r="AC3" s="98" t="str">
        <f>'Task Durations'!AD41</f>
        <v>Small</v>
      </c>
      <c r="AD3" s="98" t="str">
        <f>'Task Durations'!AE41</f>
        <v>Large</v>
      </c>
      <c r="AE3" s="98" t="str">
        <f>'Task Durations'!AF41</f>
        <v>Large</v>
      </c>
      <c r="AF3" s="98" t="str">
        <f>'Task Durations'!AG41</f>
        <v>Large</v>
      </c>
      <c r="AG3" s="98" t="str">
        <f>'Task Durations'!AH41</f>
        <v>Small</v>
      </c>
      <c r="AH3" s="98" t="str">
        <f>'Task Durations'!AI41</f>
        <v>Small</v>
      </c>
      <c r="AI3" s="98" t="str">
        <f>'Task Durations'!AJ41</f>
        <v>Large</v>
      </c>
      <c r="AJ3" s="98" t="str">
        <f>'Task Durations'!AK41</f>
        <v>Large</v>
      </c>
      <c r="AK3" s="98" t="str">
        <f>'Task Durations'!AL41</f>
        <v>Medium</v>
      </c>
      <c r="AL3" s="98" t="str">
        <f>'Task Durations'!AM41</f>
        <v>Large</v>
      </c>
      <c r="AM3" s="98" t="str">
        <f>'Task Durations'!AN41</f>
        <v>Small</v>
      </c>
      <c r="AN3" s="98" t="str">
        <f>'Task Durations'!AO41</f>
        <v>Small</v>
      </c>
      <c r="AO3" s="98" t="str">
        <f>'Task Durations'!AP41</f>
        <v>Medium</v>
      </c>
      <c r="AP3" s="98" t="str">
        <f>'Task Durations'!AQ41</f>
        <v>Medium</v>
      </c>
      <c r="AQ3" s="98" t="str">
        <f>'Task Durations'!AR41</f>
        <v>Large</v>
      </c>
      <c r="AR3" s="98" t="str">
        <f>'Task Durations'!AS41</f>
        <v>Medium</v>
      </c>
      <c r="AS3" s="98" t="str">
        <f>'Task Durations'!AT41</f>
        <v>Large</v>
      </c>
      <c r="AT3" s="98" t="str">
        <f>'Task Durations'!AU41</f>
        <v>Large</v>
      </c>
      <c r="AU3" s="98" t="str">
        <f>'Task Durations'!AV41</f>
        <v>Small</v>
      </c>
      <c r="AV3" s="98" t="str">
        <f>'Task Durations'!AW41</f>
        <v>Medium</v>
      </c>
      <c r="AW3" s="98" t="str">
        <f>'Task Durations'!AX41</f>
        <v>Large</v>
      </c>
      <c r="AX3" s="98" t="str">
        <f>'Task Durations'!AY41</f>
        <v>Medium</v>
      </c>
      <c r="AY3" s="98" t="str">
        <f>'Task Durations'!AZ41</f>
        <v>Large</v>
      </c>
      <c r="AZ3" s="98" t="str">
        <f>'Task Durations'!BA41</f>
        <v>Large</v>
      </c>
      <c r="BA3" s="98" t="str">
        <f>'Task Durations'!BB41</f>
        <v/>
      </c>
      <c r="BB3" s="98" t="str">
        <f>'Task Durations'!BC41</f>
        <v>Large</v>
      </c>
      <c r="BC3" s="98" t="str">
        <f>'Task Durations'!BD41</f>
        <v>Large</v>
      </c>
      <c r="BD3" s="98" t="str">
        <f>'Task Durations'!BE41</f>
        <v>Large</v>
      </c>
      <c r="BE3" s="98" t="str">
        <f>'Task Durations'!BF41</f>
        <v>Large</v>
      </c>
      <c r="BF3" s="98" t="str">
        <f>'Task Durations'!BG41</f>
        <v>Small</v>
      </c>
      <c r="BG3" s="98" t="str">
        <f>'Task Durations'!BH41</f>
        <v>Medium</v>
      </c>
      <c r="BH3" s="98" t="str">
        <f>'Task Durations'!BI41</f>
        <v>Medium</v>
      </c>
      <c r="BI3" s="98" t="str">
        <f>'Task Durations'!BJ41</f>
        <v>Small</v>
      </c>
      <c r="BJ3" s="98" t="str">
        <f>'Task Durations'!BK41</f>
        <v>Small</v>
      </c>
      <c r="BK3" s="98" t="str">
        <f>'Task Durations'!BL41</f>
        <v>Large</v>
      </c>
      <c r="BL3" s="98" t="str">
        <f>'Task Durations'!BM41</f>
        <v>Medium</v>
      </c>
      <c r="BM3" s="98" t="str">
        <f>'Task Durations'!BN41</f>
        <v>Small</v>
      </c>
      <c r="BN3" s="98" t="str">
        <f>'Task Durations'!BO41</f>
        <v>Medium</v>
      </c>
      <c r="BO3" s="98" t="str">
        <f>'Task Durations'!BP41</f>
        <v>Large</v>
      </c>
      <c r="BP3" s="98" t="str">
        <f>'Task Durations'!BQ41</f>
        <v>Large</v>
      </c>
      <c r="BQ3" s="98" t="str">
        <f>'Task Durations'!BR41</f>
        <v>Small</v>
      </c>
      <c r="BR3" s="98" t="str">
        <f>'Task Durations'!BS41</f>
        <v>Medium</v>
      </c>
      <c r="BS3" s="98" t="str">
        <f>'Task Durations'!BT41</f>
        <v/>
      </c>
      <c r="BT3" s="98" t="str">
        <f>'Task Durations'!BU41</f>
        <v>Large</v>
      </c>
      <c r="BU3" s="98" t="str">
        <f>'Task Durations'!BV41</f>
        <v>Medium</v>
      </c>
      <c r="BV3" s="98" t="str">
        <f>'Task Durations'!BW41</f>
        <v>Medium</v>
      </c>
      <c r="BW3" s="98" t="str">
        <f>'Task Durations'!BX41</f>
        <v>Medium</v>
      </c>
      <c r="BX3" s="98" t="str">
        <f>'Task Durations'!BY41</f>
        <v>Medium</v>
      </c>
      <c r="BY3" s="98" t="str">
        <f>'Task Durations'!BZ41</f>
        <v>Large</v>
      </c>
      <c r="BZ3" s="98" t="str">
        <f>'Task Durations'!CA41</f>
        <v>Small</v>
      </c>
      <c r="CA3" s="98" t="str">
        <f>'Task Durations'!CB41</f>
        <v>Small</v>
      </c>
      <c r="CB3" s="98" t="str">
        <f>'Task Durations'!CC41</f>
        <v>Medium</v>
      </c>
      <c r="CC3" s="98" t="str">
        <f>'Task Durations'!CD41</f>
        <v>Large</v>
      </c>
      <c r="CD3" s="98" t="str">
        <f>'Task Durations'!CE41</f>
        <v>Large</v>
      </c>
      <c r="CE3" s="98" t="str">
        <f>'Task Durations'!CF41</f>
        <v>Small</v>
      </c>
      <c r="CF3" s="98" t="str">
        <f>'Task Durations'!CG41</f>
        <v>Large</v>
      </c>
      <c r="CG3" s="98" t="str">
        <f>'Task Durations'!CH41</f>
        <v>Medium</v>
      </c>
      <c r="CH3" s="98" t="str">
        <f>'Task Durations'!CI41</f>
        <v>Large</v>
      </c>
      <c r="CI3" s="98" t="str">
        <f>'Task Durations'!CJ41</f>
        <v>Small</v>
      </c>
      <c r="CJ3" s="98" t="str">
        <f>'Task Durations'!CK41</f>
        <v>Small</v>
      </c>
      <c r="CK3" s="98" t="str">
        <f>'Task Durations'!CL41</f>
        <v>Medium</v>
      </c>
      <c r="CL3" s="98" t="str">
        <f>'Task Durations'!CM41</f>
        <v>Medium</v>
      </c>
      <c r="CM3" s="98"/>
      <c r="CN3" s="28"/>
    </row>
    <row r="4" spans="1:92" s="29" customFormat="1" x14ac:dyDescent="0.25">
      <c r="A4" s="345"/>
      <c r="B4" s="7" t="s">
        <v>240</v>
      </c>
      <c r="C4" s="28" t="str">
        <f>'Task Durations'!D6</f>
        <v>N60</v>
      </c>
      <c r="D4" s="28" t="str">
        <f>'Task Durations'!E6</f>
        <v>N60</v>
      </c>
      <c r="E4" s="28" t="str">
        <f>'Task Durations'!F6</f>
        <v>N60</v>
      </c>
      <c r="F4" s="28" t="str">
        <f>'Task Durations'!G6</f>
        <v>N60</v>
      </c>
      <c r="G4" s="28" t="str">
        <f>'Task Durations'!H6</f>
        <v>N60</v>
      </c>
      <c r="H4" s="28" t="str">
        <f>'Task Durations'!I6</f>
        <v>N60</v>
      </c>
      <c r="I4" s="28" t="str">
        <f>'Task Durations'!J6</f>
        <v>N60</v>
      </c>
      <c r="J4" s="28" t="str">
        <f>'Task Durations'!K6</f>
        <v>N60</v>
      </c>
      <c r="K4" s="28" t="str">
        <f>'Task Durations'!L6</f>
        <v>N60</v>
      </c>
      <c r="L4" s="28" t="str">
        <f>'Task Durations'!M6</f>
        <v>N60</v>
      </c>
      <c r="M4" s="28" t="str">
        <f>'Task Durations'!N6</f>
        <v>N60</v>
      </c>
      <c r="N4" s="28" t="str">
        <f>'Task Durations'!O6</f>
        <v>2lb Grab</v>
      </c>
      <c r="O4" s="28" t="str">
        <f>'Task Durations'!P6</f>
        <v>N60</v>
      </c>
      <c r="P4" s="28" t="str">
        <f>'Task Durations'!Q6</f>
        <v>N60</v>
      </c>
      <c r="Q4" s="28" t="str">
        <f>'Task Durations'!R6</f>
        <v>N60</v>
      </c>
      <c r="R4" s="28" t="str">
        <f>'Task Durations'!S6</f>
        <v>N60</v>
      </c>
      <c r="S4" s="28" t="str">
        <f>'Task Durations'!T6</f>
        <v>2lb Grab</v>
      </c>
      <c r="T4" s="28" t="str">
        <f>'Task Durations'!U6</f>
        <v>N60</v>
      </c>
      <c r="U4" s="28" t="str">
        <f>'Task Durations'!V6</f>
        <v>N60</v>
      </c>
      <c r="V4" s="28" t="str">
        <f>'Task Durations'!W6</f>
        <v>N60</v>
      </c>
      <c r="W4" s="28" t="str">
        <f>'Task Durations'!X6</f>
        <v>N60</v>
      </c>
      <c r="X4" s="28" t="str">
        <f>'Task Durations'!Y6</f>
        <v>N60</v>
      </c>
      <c r="Y4" s="28" t="str">
        <f>'Task Durations'!Z6</f>
        <v>N60</v>
      </c>
      <c r="Z4" s="28" t="str">
        <f>'Task Durations'!AA6</f>
        <v>2lb Grab</v>
      </c>
      <c r="AA4" s="28" t="str">
        <f>'Task Durations'!AB6</f>
        <v>N60</v>
      </c>
      <c r="AB4" s="28" t="str">
        <f>'Task Durations'!AC6</f>
        <v>N60</v>
      </c>
      <c r="AC4" s="28" t="str">
        <f>'Task Durations'!AD6</f>
        <v>N60</v>
      </c>
      <c r="AD4" s="28" t="str">
        <f>'Task Durations'!AE6</f>
        <v>N60</v>
      </c>
      <c r="AE4" s="28" t="str">
        <f>'Task Durations'!AF6</f>
        <v>N60</v>
      </c>
      <c r="AF4" s="28" t="str">
        <f>'Task Durations'!AG6</f>
        <v>N60</v>
      </c>
      <c r="AG4" s="28" t="str">
        <f>'Task Durations'!AH6</f>
        <v>2lb Grab</v>
      </c>
      <c r="AH4" s="28" t="str">
        <f>'Task Durations'!AI6</f>
        <v>N60</v>
      </c>
      <c r="AI4" s="28" t="str">
        <f>'Task Durations'!AJ6</f>
        <v>N60</v>
      </c>
      <c r="AJ4" s="28" t="str">
        <f>'Task Durations'!AK6</f>
        <v>N60</v>
      </c>
      <c r="AK4" s="28" t="str">
        <f>'Task Durations'!AL6</f>
        <v>N60</v>
      </c>
      <c r="AL4" s="28" t="str">
        <f>'Task Durations'!AM6</f>
        <v>N60</v>
      </c>
      <c r="AM4" s="28" t="str">
        <f>'Task Durations'!AN6</f>
        <v>N60</v>
      </c>
      <c r="AN4" s="28" t="str">
        <f>'Task Durations'!AO6</f>
        <v>N60</v>
      </c>
      <c r="AO4" s="28" t="str">
        <f>'Task Durations'!AP6</f>
        <v>N60</v>
      </c>
      <c r="AP4" s="28" t="str">
        <f>'Task Durations'!AQ6</f>
        <v>N60</v>
      </c>
      <c r="AQ4" s="28" t="str">
        <f>'Task Durations'!AR6</f>
        <v>N60</v>
      </c>
      <c r="AR4" s="28" t="str">
        <f>'Task Durations'!AS6</f>
        <v>N60</v>
      </c>
      <c r="AS4" s="28" t="str">
        <f>'Task Durations'!AT6</f>
        <v>N60</v>
      </c>
      <c r="AT4" s="28" t="str">
        <f>'Task Durations'!AU6</f>
        <v>N60</v>
      </c>
      <c r="AU4" s="28" t="str">
        <f>'Task Durations'!AV6</f>
        <v>N60</v>
      </c>
      <c r="AV4" s="28" t="str">
        <f>'Task Durations'!AW6</f>
        <v>N60</v>
      </c>
      <c r="AW4" s="28" t="str">
        <f>'Task Durations'!AX6</f>
        <v>N60</v>
      </c>
      <c r="AX4" s="28" t="str">
        <f>'Task Durations'!AY6</f>
        <v>N60</v>
      </c>
      <c r="AY4" s="28" t="str">
        <f>'Task Durations'!AZ6</f>
        <v>N60</v>
      </c>
      <c r="AZ4" s="28" t="str">
        <f>'Task Durations'!BA6</f>
        <v>N60</v>
      </c>
      <c r="BA4" s="28" t="str">
        <f>'Task Durations'!BB6</f>
        <v>N60</v>
      </c>
      <c r="BB4" s="28" t="str">
        <f>'Task Durations'!BC6</f>
        <v>N60</v>
      </c>
      <c r="BC4" s="28" t="str">
        <f>'Task Durations'!BD6</f>
        <v>N60</v>
      </c>
      <c r="BD4" s="28" t="str">
        <f>'Task Durations'!BE6</f>
        <v>N60</v>
      </c>
      <c r="BE4" s="28" t="str">
        <f>'Task Durations'!BF6</f>
        <v>N60</v>
      </c>
      <c r="BF4" s="28" t="str">
        <f>'Task Durations'!BG6</f>
        <v>N60</v>
      </c>
      <c r="BG4" s="28" t="str">
        <f>'Task Durations'!BH6</f>
        <v>N60</v>
      </c>
      <c r="BH4" s="28" t="str">
        <f>'Task Durations'!BI6</f>
        <v>N60</v>
      </c>
      <c r="BI4" s="28" t="str">
        <f>'Task Durations'!BJ6</f>
        <v>N60</v>
      </c>
      <c r="BJ4" s="28" t="str">
        <f>'Task Durations'!BK6</f>
        <v>2lb Grab</v>
      </c>
      <c r="BK4" s="28" t="str">
        <f>'Task Durations'!BL6</f>
        <v>N60</v>
      </c>
      <c r="BL4" s="28" t="str">
        <f>'Task Durations'!BM6</f>
        <v>N60</v>
      </c>
      <c r="BM4" s="28" t="str">
        <f>'Task Durations'!BN6</f>
        <v>N60</v>
      </c>
      <c r="BN4" s="28" t="str">
        <f>'Task Durations'!BO6</f>
        <v>N60</v>
      </c>
      <c r="BO4" s="28" t="str">
        <f>'Task Durations'!BP6</f>
        <v>N60</v>
      </c>
      <c r="BP4" s="28" t="str">
        <f>'Task Durations'!BQ6</f>
        <v>N60</v>
      </c>
      <c r="BQ4" s="28" t="str">
        <f>'Task Durations'!BR6</f>
        <v>N60</v>
      </c>
      <c r="BR4" s="28" t="str">
        <f>'Task Durations'!BS6</f>
        <v>N60</v>
      </c>
      <c r="BS4" s="28" t="str">
        <f>'Task Durations'!BT6</f>
        <v>N60</v>
      </c>
      <c r="BT4" s="28" t="str">
        <f>'Task Durations'!BU6</f>
        <v>N60</v>
      </c>
      <c r="BU4" s="28" t="str">
        <f>'Task Durations'!BV6</f>
        <v>N60</v>
      </c>
      <c r="BV4" s="28" t="str">
        <f>'Task Durations'!BW6</f>
        <v>N60</v>
      </c>
      <c r="BW4" s="28" t="str">
        <f>'Task Durations'!BX6</f>
        <v>2lb Grab</v>
      </c>
      <c r="BX4" s="28" t="str">
        <f>'Task Durations'!BY6</f>
        <v>2lb Grab</v>
      </c>
      <c r="BY4" s="28" t="str">
        <f>'Task Durations'!BZ6</f>
        <v>N60</v>
      </c>
      <c r="BZ4" s="28" t="str">
        <f>'Task Durations'!CA6</f>
        <v>2lb Grab</v>
      </c>
      <c r="CA4" s="28" t="str">
        <f>'Task Durations'!CB6</f>
        <v>N60</v>
      </c>
      <c r="CB4" s="28" t="str">
        <f>'Task Durations'!CC6</f>
        <v>N60</v>
      </c>
      <c r="CC4" s="28" t="str">
        <f>'Task Durations'!CD6</f>
        <v>N60</v>
      </c>
      <c r="CD4" s="28" t="str">
        <f>'Task Durations'!CE6</f>
        <v>N60</v>
      </c>
      <c r="CE4" s="28" t="str">
        <f>'Task Durations'!CF6</f>
        <v>2lb Grab</v>
      </c>
      <c r="CF4" s="28" t="str">
        <f>'Task Durations'!CG6</f>
        <v>N60</v>
      </c>
      <c r="CG4" s="28" t="str">
        <f>'Task Durations'!CH6</f>
        <v>N60</v>
      </c>
      <c r="CH4" s="28" t="str">
        <f>'Task Durations'!CI6</f>
        <v>N60</v>
      </c>
      <c r="CI4" s="28" t="str">
        <f>'Task Durations'!CJ6</f>
        <v>N60</v>
      </c>
      <c r="CJ4" s="28" t="str">
        <f>'Task Durations'!CK6</f>
        <v>N60</v>
      </c>
      <c r="CK4" s="28" t="str">
        <f>'Task Durations'!CL6</f>
        <v>N60</v>
      </c>
      <c r="CL4" s="28" t="str">
        <f>'Task Durations'!CM6</f>
        <v>N60</v>
      </c>
      <c r="CM4" s="28"/>
      <c r="CN4" s="28"/>
    </row>
    <row r="5" spans="1:92" x14ac:dyDescent="0.25">
      <c r="A5" s="345"/>
      <c r="B5" s="1" t="s">
        <v>7</v>
      </c>
      <c r="C5" s="9">
        <f>IF(SUMIF('Task Durations'!$C$10:$C$34, "Direct",'Task Durations'!D10:D34)&lt;&gt;0,SUMIF('Task Durations'!$C$10:$C$34, "Direct",'Task Durations'!D10:D34))</f>
        <v>40.016666666666666</v>
      </c>
      <c r="D5" s="9">
        <f>IF(SUMIF('Task Durations'!$C$10:$C$34, "Direct",'Task Durations'!E10:E34)&lt;&gt;0,SUMIF('Task Durations'!$C$10:$C$34, "Direct",'Task Durations'!E10:E34))</f>
        <v>38.899000000000008</v>
      </c>
      <c r="E5" s="9">
        <f>IF(SUMIF('Task Durations'!$C$10:$C$34, "Direct",'Task Durations'!F10:F34)&lt;&gt;0,SUMIF('Task Durations'!$C$10:$C$34, "Direct",'Task Durations'!F10:F34))</f>
        <v>32.733333333333334</v>
      </c>
      <c r="F5" s="9">
        <f>IF(SUMIF('Task Durations'!$C$10:$C$34, "Direct",'Task Durations'!G10:G34)&lt;&gt;0,SUMIF('Task Durations'!$C$10:$C$34, "Direct",'Task Durations'!G10:G34))</f>
        <v>26.717999999999993</v>
      </c>
      <c r="G5" s="9">
        <f>IF(SUMIF('Task Durations'!$C$10:$C$34, "Direct",'Task Durations'!H10:H34)&lt;&gt;0,SUMIF('Task Durations'!$C$10:$C$34, "Direct",'Task Durations'!H10:H34))</f>
        <v>25.465999999999998</v>
      </c>
      <c r="H5" s="9">
        <f>IF(SUMIF('Task Durations'!$C$10:$C$34, "Direct",'Task Durations'!I10:I34)&lt;&gt;0,SUMIF('Task Durations'!$C$10:$C$34, "Direct",'Task Durations'!I10:I34))</f>
        <v>24.65</v>
      </c>
      <c r="I5" s="9">
        <f>IF(SUMIF('Task Durations'!$C$10:$C$34, "Direct",'Task Durations'!J10:J34)&lt;&gt;0,SUMIF('Task Durations'!$C$10:$C$34, "Direct",'Task Durations'!J10:J34))</f>
        <v>57.766666666666666</v>
      </c>
      <c r="J5" s="9">
        <f>IF(SUMIF('Task Durations'!$C$10:$C$34, "Direct",'Task Durations'!K10:K34)&lt;&gt;0,SUMIF('Task Durations'!$C$10:$C$34, "Direct",'Task Durations'!K10:K34))</f>
        <v>44.332999999999998</v>
      </c>
      <c r="K5" s="9">
        <f>IF(SUMIF('Task Durations'!$C$10:$C$34, "Direct",'Task Durations'!L10:L34)&lt;&gt;0,SUMIF('Task Durations'!$C$10:$C$34, "Direct",'Task Durations'!L10:L34))</f>
        <v>29.419</v>
      </c>
      <c r="L5" s="9">
        <f>IF(SUMIF('Task Durations'!$C$10:$C$34, "Direct",'Task Durations'!M10:M34)&lt;&gt;0,SUMIF('Task Durations'!$C$10:$C$34, "Direct",'Task Durations'!M10:M34))</f>
        <v>41.783000000000001</v>
      </c>
      <c r="M5" s="9">
        <f>IF(SUMIF('Task Durations'!$C$10:$C$34, "Direct",'Task Durations'!N10:N34)&lt;&gt;0,SUMIF('Task Durations'!$C$10:$C$34, "Direct",'Task Durations'!N10:N34))</f>
        <v>36.5837</v>
      </c>
      <c r="N5" s="9">
        <f>IF(SUMIF('Task Durations'!$C$10:$C$34, "Direct",'Task Durations'!O10:O34)&lt;&gt;0,SUMIF('Task Durations'!$C$10:$C$34, "Direct",'Task Durations'!O10:O34))</f>
        <v>24.417000000000002</v>
      </c>
      <c r="O5" s="9">
        <f>IF(SUMIF('Task Durations'!$C$10:$C$34, "Direct",'Task Durations'!P10:P34)&lt;&gt;0,SUMIF('Task Durations'!$C$10:$C$34, "Direct",'Task Durations'!P10:P34))</f>
        <v>42.265999999999998</v>
      </c>
      <c r="P5" s="9">
        <f>IF(SUMIF('Task Durations'!$C$10:$C$34, "Direct",'Task Durations'!Q10:Q34)&lt;&gt;0,SUMIF('Task Durations'!$C$10:$C$34, "Direct",'Task Durations'!Q10:Q34))</f>
        <v>48.048999999999992</v>
      </c>
      <c r="Q5" s="9">
        <f>IF(SUMIF('Task Durations'!$C$10:$C$34, "Direct",'Task Durations'!R10:R34)&lt;&gt;0,SUMIF('Task Durations'!$C$10:$C$34, "Direct",'Task Durations'!R10:R34))</f>
        <v>15.75</v>
      </c>
      <c r="R5" s="9">
        <f>IF(SUMIF('Task Durations'!$C$10:$C$34, "Direct",'Task Durations'!S10:S34)&lt;&gt;0,SUMIF('Task Durations'!$C$10:$C$34, "Direct",'Task Durations'!S10:S34))</f>
        <v>19.420999999999999</v>
      </c>
      <c r="S5" s="9">
        <f>IF(SUMIF('Task Durations'!$C$10:$C$34, "Direct",'Task Durations'!T10:T34)&lt;&gt;0,SUMIF('Task Durations'!$C$10:$C$34, "Direct",'Task Durations'!T10:T34))</f>
        <v>35.667000000000002</v>
      </c>
      <c r="T5" s="9">
        <f>IF(SUMIF('Task Durations'!$C$10:$C$34, "Direct",'Task Durations'!U10:U34)&lt;&gt;0,SUMIF('Task Durations'!$C$10:$C$34, "Direct",'Task Durations'!U10:U34))</f>
        <v>40.149700000000003</v>
      </c>
      <c r="U5" s="9">
        <f>IF(SUMIF('Task Durations'!$C$10:$C$34, "Direct",'Task Durations'!V10:V34)&lt;&gt;0,SUMIF('Task Durations'!$C$10:$C$34, "Direct",'Task Durations'!V10:V34))</f>
        <v>62.499000000000009</v>
      </c>
      <c r="V5" s="9">
        <f>IF(SUMIF('Task Durations'!$C$10:$C$34, "Direct",'Task Durations'!W10:W34)&lt;&gt;0,SUMIF('Task Durations'!$C$10:$C$34, "Direct",'Task Durations'!W10:W34))</f>
        <v>31.766300000000001</v>
      </c>
      <c r="W5" s="9">
        <f>IF(SUMIF('Task Durations'!$C$10:$C$34, "Direct",'Task Durations'!X10:X34)&lt;&gt;0,SUMIF('Task Durations'!$C$10:$C$34, "Direct",'Task Durations'!X10:X34))</f>
        <v>32.850300000000004</v>
      </c>
      <c r="X5" s="9">
        <f>IF(SUMIF('Task Durations'!$C$10:$C$34, "Direct",'Task Durations'!Y10:Y34)&lt;&gt;0,SUMIF('Task Durations'!$C$10:$C$34, "Direct",'Task Durations'!Y10:Y34))</f>
        <v>51.498699999999999</v>
      </c>
      <c r="Y5" s="9">
        <f>IF(SUMIF('Task Durations'!$C$10:$C$34, "Direct",'Task Durations'!Z10:Z34)&lt;&gt;0,SUMIF('Task Durations'!$C$10:$C$34, "Direct",'Task Durations'!Z10:Z34))</f>
        <v>27.980000000000004</v>
      </c>
      <c r="Z5" s="9">
        <f>IF(SUMIF('Task Durations'!$C$10:$C$34, "Direct",'Task Durations'!AA10:AA34)&lt;&gt;0,SUMIF('Task Durations'!$C$10:$C$34, "Direct",'Task Durations'!AA10:AA34))</f>
        <v>15.433</v>
      </c>
      <c r="AA5" s="9">
        <f>IF(SUMIF('Task Durations'!$C$10:$C$34, "Direct",'Task Durations'!AB10:AB34)&lt;&gt;0,SUMIF('Task Durations'!$C$10:$C$34, "Direct",'Task Durations'!AB10:AB34))</f>
        <v>53.549700000000001</v>
      </c>
      <c r="AB5" s="9">
        <f>IF(SUMIF('Task Durations'!$C$10:$C$34, "Direct",'Task Durations'!AC10:AC34)&lt;&gt;0,SUMIF('Task Durations'!$C$10:$C$34, "Direct",'Task Durations'!AC10:AC34))</f>
        <v>27.739000000000001</v>
      </c>
      <c r="AC5" s="9">
        <f>IF(SUMIF('Task Durations'!$C$10:$C$34, "Direct",'Task Durations'!AD10:AD34)&lt;&gt;0,SUMIF('Task Durations'!$C$10:$C$34, "Direct",'Task Durations'!AD10:AD34))</f>
        <v>23.023300000000003</v>
      </c>
      <c r="AD5" s="9">
        <f>IF(SUMIF('Task Durations'!$C$10:$C$34, "Direct",'Task Durations'!AE10:AE34)&lt;&gt;0,SUMIF('Task Durations'!$C$10:$C$34, "Direct",'Task Durations'!AE10:AE34))</f>
        <v>43.187000000000005</v>
      </c>
      <c r="AE5" s="9">
        <f>IF(SUMIF('Task Durations'!$C$10:$C$34, "Direct",'Task Durations'!AF10:AF34)&lt;&gt;0,SUMIF('Task Durations'!$C$10:$C$34, "Direct",'Task Durations'!AF10:AF34))</f>
        <v>41.3504</v>
      </c>
      <c r="AF5" s="9">
        <f>IF(SUMIF('Task Durations'!$C$10:$C$34, "Direct",'Task Durations'!AG10:AG34)&lt;&gt;0,SUMIF('Task Durations'!$C$10:$C$34, "Direct",'Task Durations'!AG10:AG34))</f>
        <v>28.849000000000004</v>
      </c>
      <c r="AG5" s="9">
        <f>IF(SUMIF('Task Durations'!$C$10:$C$34, "Direct",'Task Durations'!AH10:AH34)&lt;&gt;0,SUMIF('Task Durations'!$C$10:$C$34, "Direct",'Task Durations'!AH10:AH34))</f>
        <v>29.700000000000003</v>
      </c>
      <c r="AH5" s="9">
        <f>IF(SUMIF('Task Durations'!$C$10:$C$34, "Direct",'Task Durations'!AI10:AI34)&lt;&gt;0,SUMIF('Task Durations'!$C$10:$C$34, "Direct",'Task Durations'!AI10:AI34))</f>
        <v>43.500700000000002</v>
      </c>
      <c r="AI5" s="9">
        <f>IF(SUMIF('Task Durations'!$C$10:$C$34, "Direct",'Task Durations'!AJ10:AJ34)&lt;&gt;0,SUMIF('Task Durations'!$C$10:$C$34, "Direct",'Task Durations'!AJ10:AJ34))</f>
        <v>41.670999999999999</v>
      </c>
      <c r="AJ5" s="9">
        <f>IF(SUMIF('Task Durations'!$C$10:$C$34, "Direct",'Task Durations'!AK10:AK34)&lt;&gt;0,SUMIF('Task Durations'!$C$10:$C$34, "Direct",'Task Durations'!AK10:AK34))</f>
        <v>35.482999999999997</v>
      </c>
      <c r="AK5" s="9">
        <f>IF(SUMIF('Task Durations'!$C$10:$C$34, "Direct",'Task Durations'!AL10:AL34)&lt;&gt;0,SUMIF('Task Durations'!$C$10:$C$34, "Direct",'Task Durations'!AL10:AL34))</f>
        <v>52.750999999999998</v>
      </c>
      <c r="AL5" s="9">
        <f>IF(SUMIF('Task Durations'!$C$10:$C$34, "Direct",'Task Durations'!AM10:AM34)&lt;&gt;0,SUMIF('Task Durations'!$C$10:$C$34, "Direct",'Task Durations'!AM10:AM34))</f>
        <v>36.750000000000007</v>
      </c>
      <c r="AM5" s="9">
        <f>IF(SUMIF('Task Durations'!$C$10:$C$34, "Direct",'Task Durations'!AN10:AN34)&lt;&gt;0,SUMIF('Task Durations'!$C$10:$C$34, "Direct",'Task Durations'!AN10:AN34))</f>
        <v>39.349999999999994</v>
      </c>
      <c r="AN5" s="9">
        <f>IF(SUMIF('Task Durations'!$C$10:$C$34, "Direct",'Task Durations'!AO10:AO34)&lt;&gt;0,SUMIF('Task Durations'!$C$10:$C$34, "Direct",'Task Durations'!AO10:AO34))</f>
        <v>40.414999999999999</v>
      </c>
      <c r="AO5" s="9">
        <f>IF(SUMIF('Task Durations'!$C$10:$C$34, "Direct",'Task Durations'!AP10:AP34)&lt;&gt;0,SUMIF('Task Durations'!$C$10:$C$34, "Direct",'Task Durations'!AP10:AP34))</f>
        <v>33.766000000000005</v>
      </c>
      <c r="AP5" s="9">
        <f>IF(SUMIF('Task Durations'!$C$10:$C$34, "Direct",'Task Durations'!AQ10:AQ34)&lt;&gt;0,SUMIF('Task Durations'!$C$10:$C$34, "Direct",'Task Durations'!AQ10:AQ34))</f>
        <v>22.016399999999997</v>
      </c>
      <c r="AQ5" s="9">
        <f>IF(SUMIF('Task Durations'!$C$10:$C$34, "Direct",'Task Durations'!AR10:AR34)&lt;&gt;0,SUMIF('Task Durations'!$C$10:$C$34, "Direct",'Task Durations'!AR10:AR34))</f>
        <v>30.051000000000002</v>
      </c>
      <c r="AR5" s="9">
        <f>IF(SUMIF('Task Durations'!$C$10:$C$34, "Direct",'Task Durations'!AS10:AS34)&lt;&gt;0,SUMIF('Task Durations'!$C$10:$C$34, "Direct",'Task Durations'!AS10:AS34))</f>
        <v>59.820500000000003</v>
      </c>
      <c r="AS5" s="9">
        <f>IF(SUMIF('Task Durations'!$C$10:$C$34, "Direct",'Task Durations'!AT10:AT34)&lt;&gt;0,SUMIF('Task Durations'!$C$10:$C$34, "Direct",'Task Durations'!AT10:AT34))</f>
        <v>38.116999999999997</v>
      </c>
      <c r="AT5" s="9">
        <f>IF(SUMIF('Task Durations'!$C$10:$C$34, "Direct",'Task Durations'!AU10:AU34)&lt;&gt;0,SUMIF('Task Durations'!$C$10:$C$34, "Direct",'Task Durations'!AU10:AU34))</f>
        <v>32.9</v>
      </c>
      <c r="AU5" s="9">
        <f>IF(SUMIF('Task Durations'!$C$10:$C$34, "Direct",'Task Durations'!AV10:AV34)&lt;&gt;0,SUMIF('Task Durations'!$C$10:$C$34, "Direct",'Task Durations'!AV10:AV34))</f>
        <v>20.515999999999998</v>
      </c>
      <c r="AV5" s="9">
        <f>IF(SUMIF('Task Durations'!$C$10:$C$34, "Direct",'Task Durations'!AW10:AW34)&lt;&gt;0,SUMIF('Task Durations'!$C$10:$C$34, "Direct",'Task Durations'!AW10:AW34))</f>
        <v>51.100299999999997</v>
      </c>
      <c r="AW5" s="9">
        <f>IF(SUMIF('Task Durations'!$C$10:$C$34, "Direct",'Task Durations'!AX10:AX34)&lt;&gt;0,SUMIF('Task Durations'!$C$10:$C$34, "Direct",'Task Durations'!AX10:AX34))</f>
        <v>61.084000000000003</v>
      </c>
      <c r="AX5" s="9">
        <f>IF(SUMIF('Task Durations'!$C$10:$C$34, "Direct",'Task Durations'!AY10:AY34)&lt;&gt;0,SUMIF('Task Durations'!$C$10:$C$34, "Direct",'Task Durations'!AY10:AY34))</f>
        <v>26.166</v>
      </c>
      <c r="AY5" s="9">
        <f>IF(SUMIF('Task Durations'!$C$10:$C$34, "Direct",'Task Durations'!AZ10:AZ34)&lt;&gt;0,SUMIF('Task Durations'!$C$10:$C$34, "Direct",'Task Durations'!AZ10:AZ34))</f>
        <v>46.199700000000007</v>
      </c>
      <c r="AZ5" s="9">
        <f>IF(SUMIF('Task Durations'!$C$10:$C$34, "Direct",'Task Durations'!BA10:BA34)&lt;&gt;0,SUMIF('Task Durations'!$C$10:$C$34, "Direct",'Task Durations'!BA10:BA34))</f>
        <v>57.5336</v>
      </c>
      <c r="BA5" s="9">
        <f>IF(SUMIF('Task Durations'!$C$10:$C$34, "Direct",'Task Durations'!BB10:BB34)&lt;&gt;0,SUMIF('Task Durations'!$C$10:$C$34, "Direct",'Task Durations'!BB10:BB34))</f>
        <v>20.882999999999999</v>
      </c>
      <c r="BB5" s="9">
        <f>IF(SUMIF('Task Durations'!$C$10:$C$34, "Direct",'Task Durations'!BC10:BC34)&lt;&gt;0,SUMIF('Task Durations'!$C$10:$C$34, "Direct",'Task Durations'!BC10:BC34))</f>
        <v>42.416000000000004</v>
      </c>
      <c r="BC5" s="9">
        <f>IF(SUMIF('Task Durations'!$C$10:$C$34, "Direct",'Task Durations'!BD10:BD34)&lt;&gt;0,SUMIF('Task Durations'!$C$10:$C$34, "Direct",'Task Durations'!BD10:BD34))</f>
        <v>41.515999999999998</v>
      </c>
      <c r="BD5" s="9">
        <f>IF(SUMIF('Task Durations'!$C$10:$C$34, "Direct",'Task Durations'!BE10:BE34)&lt;&gt;0,SUMIF('Task Durations'!$C$10:$C$34, "Direct",'Task Durations'!BE10:BE34))</f>
        <v>29.432299999999998</v>
      </c>
      <c r="BE5" s="9">
        <f>IF(SUMIF('Task Durations'!$C$10:$C$34, "Direct",'Task Durations'!BF10:BF34)&lt;&gt;0,SUMIF('Task Durations'!$C$10:$C$34, "Direct",'Task Durations'!BF10:BF34))</f>
        <v>29.467000000000002</v>
      </c>
      <c r="BF5" s="9">
        <f>IF(SUMIF('Task Durations'!$C$10:$C$34, "Direct",'Task Durations'!BG10:BG34)&lt;&gt;0,SUMIF('Task Durations'!$C$10:$C$34, "Direct",'Task Durations'!BG10:BG34))</f>
        <v>34.645199999999996</v>
      </c>
      <c r="BG5" s="9">
        <f>IF(SUMIF('Task Durations'!$C$10:$C$34, "Direct",'Task Durations'!BH10:BH34)&lt;&gt;0,SUMIF('Task Durations'!$C$10:$C$34, "Direct",'Task Durations'!BH10:BH34))</f>
        <v>36.266299999999994</v>
      </c>
      <c r="BH5" s="9">
        <f>IF(SUMIF('Task Durations'!$C$10:$C$34, "Direct",'Task Durations'!BI10:BI34)&lt;&gt;0,SUMIF('Task Durations'!$C$10:$C$34, "Direct",'Task Durations'!BI10:BI34))</f>
        <v>19.541999999999998</v>
      </c>
      <c r="BI5" s="9">
        <f>IF(SUMIF('Task Durations'!$C$10:$C$34, "Direct",'Task Durations'!BJ10:BJ34)&lt;&gt;0,SUMIF('Task Durations'!$C$10:$C$34, "Direct",'Task Durations'!BJ10:BJ34))</f>
        <v>25.966999999999999</v>
      </c>
      <c r="BJ5" s="9">
        <f>IF(SUMIF('Task Durations'!$C$10:$C$34, "Direct",'Task Durations'!BK10:BK34)&lt;&gt;0,SUMIF('Task Durations'!$C$10:$C$34, "Direct",'Task Durations'!BK10:BK34))</f>
        <v>13.1</v>
      </c>
      <c r="BK5" s="9">
        <f>IF(SUMIF('Task Durations'!$C$10:$C$34, "Direct",'Task Durations'!BL10:BL34)&lt;&gt;0,SUMIF('Task Durations'!$C$10:$C$34, "Direct",'Task Durations'!BL10:BL34))</f>
        <v>37.509300000000003</v>
      </c>
      <c r="BL5" s="9">
        <f>IF(SUMIF('Task Durations'!$C$10:$C$34, "Direct",'Task Durations'!BM10:BM34)&lt;&gt;0,SUMIF('Task Durations'!$C$10:$C$34, "Direct",'Task Durations'!BM10:BM34))</f>
        <v>19.549299999999999</v>
      </c>
      <c r="BM5" s="9">
        <f>IF(SUMIF('Task Durations'!$C$10:$C$34, "Direct",'Task Durations'!BN10:BN34)&lt;&gt;0,SUMIF('Task Durations'!$C$10:$C$34, "Direct",'Task Durations'!BN10:BN34))</f>
        <v>31.0717</v>
      </c>
      <c r="BN5" s="9">
        <f>IF(SUMIF('Task Durations'!$C$10:$C$34, "Direct",'Task Durations'!BO10:BO34)&lt;&gt;0,SUMIF('Task Durations'!$C$10:$C$34, "Direct",'Task Durations'!BO10:BO34))</f>
        <v>28.6493</v>
      </c>
      <c r="BO5" s="9">
        <f>IF(SUMIF('Task Durations'!$C$10:$C$34, "Direct",'Task Durations'!BP10:BP34)&lt;&gt;0,SUMIF('Task Durations'!$C$10:$C$34, "Direct",'Task Durations'!BP10:BP34))</f>
        <v>60.104999999999997</v>
      </c>
      <c r="BP5" s="9">
        <f>IF(SUMIF('Task Durations'!$C$10:$C$34, "Direct",'Task Durations'!BQ10:BQ34)&lt;&gt;0,SUMIF('Task Durations'!$C$10:$C$34, "Direct",'Task Durations'!BQ10:BQ34))</f>
        <v>21.351000000000003</v>
      </c>
      <c r="BQ5" s="9">
        <f>IF(SUMIF('Task Durations'!$C$10:$C$34, "Direct",'Task Durations'!BR10:BR34)&lt;&gt;0,SUMIF('Task Durations'!$C$10:$C$34, "Direct",'Task Durations'!BR10:BR34))</f>
        <v>33.483700000000006</v>
      </c>
      <c r="BR5" s="9">
        <f>IF(SUMIF('Task Durations'!$C$10:$C$34, "Direct",'Task Durations'!BS10:BS34)&lt;&gt;0,SUMIF('Task Durations'!$C$10:$C$34, "Direct",'Task Durations'!BS10:BS34))</f>
        <v>46.535999999999994</v>
      </c>
      <c r="BS5" s="9">
        <f>IF(SUMIF('Task Durations'!$C$10:$C$34, "Direct",'Task Durations'!BT10:BT34)&lt;&gt;0,SUMIF('Task Durations'!$C$10:$C$34, "Direct",'Task Durations'!BT10:BT34))</f>
        <v>46.982999999999997</v>
      </c>
      <c r="BT5" s="9">
        <f>IF(SUMIF('Task Durations'!$C$10:$C$34, "Direct",'Task Durations'!BU10:BU34)&lt;&gt;0,SUMIF('Task Durations'!$C$10:$C$34, "Direct",'Task Durations'!BU10:BU34))</f>
        <v>64.816300000000012</v>
      </c>
      <c r="BU5" s="9">
        <f>IF(SUMIF('Task Durations'!$C$10:$C$34, "Direct",'Task Durations'!BV10:BV34)&lt;&gt;0,SUMIF('Task Durations'!$C$10:$C$34, "Direct",'Task Durations'!BV10:BV34))</f>
        <v>45.216999999999999</v>
      </c>
      <c r="BV5" s="9">
        <f>IF(SUMIF('Task Durations'!$C$10:$C$34, "Direct",'Task Durations'!BW10:BW34)&lt;&gt;0,SUMIF('Task Durations'!$C$10:$C$34, "Direct",'Task Durations'!BW10:BW34))</f>
        <v>46.216999999999992</v>
      </c>
      <c r="BW5" s="9">
        <f>IF(SUMIF('Task Durations'!$C$10:$C$34, "Direct",'Task Durations'!BX10:BX34)&lt;&gt;0,SUMIF('Task Durations'!$C$10:$C$34, "Direct",'Task Durations'!BX10:BX34))</f>
        <v>15.716700000000001</v>
      </c>
      <c r="BX5" s="9">
        <f>IF(SUMIF('Task Durations'!$C$10:$C$34, "Direct",'Task Durations'!BY10:BY34)&lt;&gt;0,SUMIF('Task Durations'!$C$10:$C$34, "Direct",'Task Durations'!BY10:BY34))</f>
        <v>8.3333000000000013</v>
      </c>
      <c r="BY5" s="9">
        <f>IF(SUMIF('Task Durations'!$C$10:$C$34, "Direct",'Task Durations'!BZ10:BZ34)&lt;&gt;0,SUMIF('Task Durations'!$C$10:$C$34, "Direct",'Task Durations'!BZ10:BZ34))</f>
        <v>32.732700000000001</v>
      </c>
      <c r="BZ5" s="9">
        <f>IF(SUMIF('Task Durations'!$C$10:$C$34, "Direct",'Task Durations'!CA10:CA34)&lt;&gt;0,SUMIF('Task Durations'!$C$10:$C$34, "Direct",'Task Durations'!CA10:CA34))</f>
        <v>6.2006999999999994</v>
      </c>
      <c r="CA5" s="9">
        <f>IF(SUMIF('Task Durations'!$C$10:$C$34, "Direct",'Task Durations'!CB10:CB34)&lt;&gt;0,SUMIF('Task Durations'!$C$10:$C$34, "Direct",'Task Durations'!CB10:CB34))</f>
        <v>48.466999999999999</v>
      </c>
      <c r="CB5" s="9">
        <f>IF(SUMIF('Task Durations'!$C$10:$C$34, "Direct",'Task Durations'!CC10:CC34)&lt;&gt;0,SUMIF('Task Durations'!$C$10:$C$34, "Direct",'Task Durations'!CC10:CC34))</f>
        <v>39.884000000000007</v>
      </c>
      <c r="CC5" s="9">
        <f>IF(SUMIF('Task Durations'!$C$10:$C$34, "Direct",'Task Durations'!CD10:CD34)&lt;&gt;0,SUMIF('Task Durations'!$C$10:$C$34, "Direct",'Task Durations'!CD10:CD34))</f>
        <v>39.701999999999998</v>
      </c>
      <c r="CD5" s="9">
        <f>IF(SUMIF('Task Durations'!$C$10:$C$34, "Direct",'Task Durations'!CE10:CE34)&lt;&gt;0,SUMIF('Task Durations'!$C$10:$C$34, "Direct",'Task Durations'!CE10:CE34))</f>
        <v>8.85</v>
      </c>
      <c r="CE5" s="9">
        <f>IF(SUMIF('Task Durations'!$C$10:$C$34, "Direct",'Task Durations'!CF10:CF34)&lt;&gt;0,SUMIF('Task Durations'!$C$10:$C$34, "Direct",'Task Durations'!CF10:CF34))</f>
        <v>18.533000000000001</v>
      </c>
      <c r="CF5" s="9">
        <f>IF(SUMIF('Task Durations'!$C$10:$C$34, "Direct",'Task Durations'!CG10:CG34)&lt;&gt;0,SUMIF('Task Durations'!$C$10:$C$34, "Direct",'Task Durations'!CG10:CG34))</f>
        <v>48.633299999999998</v>
      </c>
      <c r="CG5" s="9">
        <f>IF(SUMIF('Task Durations'!$C$10:$C$34, "Direct",'Task Durations'!CH10:CH34)&lt;&gt;0,SUMIF('Task Durations'!$C$10:$C$34, "Direct",'Task Durations'!CH10:CH34))</f>
        <v>27.3</v>
      </c>
      <c r="CH5" s="9">
        <f>IF(SUMIF('Task Durations'!$C$10:$C$34, "Direct",'Task Durations'!CI10:CI34)&lt;&gt;0,SUMIF('Task Durations'!$C$10:$C$34, "Direct",'Task Durations'!CI10:CI34))</f>
        <v>63</v>
      </c>
      <c r="CI5" s="9">
        <f>IF(SUMIF('Task Durations'!$C$10:$C$34, "Direct",'Task Durations'!CJ10:CJ34)&lt;&gt;0,SUMIF('Task Durations'!$C$10:$C$34, "Direct",'Task Durations'!CJ10:CJ34))</f>
        <v>30.383000000000003</v>
      </c>
      <c r="CJ5" s="9">
        <f>IF(SUMIF('Task Durations'!$C$10:$C$34, "Direct",'Task Durations'!CK10:CK34)&lt;&gt;0,SUMIF('Task Durations'!$C$10:$C$34, "Direct",'Task Durations'!CK10:CK34))</f>
        <v>52.516999999999996</v>
      </c>
      <c r="CK5" s="9">
        <f>IF(SUMIF('Task Durations'!$C$10:$C$34, "Direct",'Task Durations'!CL10:CL34)&lt;&gt;0,SUMIF('Task Durations'!$C$10:$C$34, "Direct",'Task Durations'!CL10:CL34))</f>
        <v>67.398499999999999</v>
      </c>
      <c r="CL5" s="9">
        <f>IF(SUMIF('Task Durations'!$C$10:$C$34, "Direct",'Task Durations'!CM10:CM34)&lt;&gt;0,SUMIF('Task Durations'!$C$10:$C$34, "Direct",'Task Durations'!CM10:CM34))</f>
        <v>33.482999999999997</v>
      </c>
      <c r="CM5" s="9"/>
      <c r="CN5" s="9"/>
    </row>
    <row r="6" spans="1:92" x14ac:dyDescent="0.25">
      <c r="A6" s="345"/>
      <c r="B6" s="1" t="s">
        <v>8</v>
      </c>
      <c r="C6" s="9">
        <f>IF(SUMIF('Task Durations'!$C$10:$C$34, "Indirect",'Task Durations'!D10:D34)&lt;&gt;0,SUMIF('Task Durations'!$C$10:$C$34, "Indirect",'Task Durations'!D10:D34))</f>
        <v>21.25</v>
      </c>
      <c r="D6" s="9">
        <f>IF(SUMIF('Task Durations'!$C$10:$C$34, "Indirect",'Task Durations'!E10:E34)&lt;&gt;0,SUMIF('Task Durations'!$C$10:$C$34, "Indirect",'Task Durations'!E10:E34))</f>
        <v>17.266999999999996</v>
      </c>
      <c r="E6" s="9">
        <f>IF(SUMIF('Task Durations'!$C$10:$C$34, "Indirect",'Task Durations'!F10:F34)&lt;&gt;0,SUMIF('Task Durations'!$C$10:$C$34, "Indirect",'Task Durations'!F10:F34))</f>
        <v>37.800000000000004</v>
      </c>
      <c r="F6" s="9">
        <f>IF(SUMIF('Task Durations'!$C$10:$C$34, "Indirect",'Task Durations'!G10:G34)&lt;&gt;0,SUMIF('Task Durations'!$C$10:$C$34, "Indirect",'Task Durations'!G10:G34))</f>
        <v>22.699999999999996</v>
      </c>
      <c r="G6" s="9">
        <f>IF(SUMIF('Task Durations'!$C$10:$C$34, "Indirect",'Task Durations'!H10:H34)&lt;&gt;0,SUMIF('Task Durations'!$C$10:$C$34, "Indirect",'Task Durations'!H10:H34))</f>
        <v>17.683</v>
      </c>
      <c r="H6" s="9">
        <f>IF(SUMIF('Task Durations'!$C$10:$C$34, "Indirect",'Task Durations'!I10:I34)&lt;&gt;0,SUMIF('Task Durations'!$C$10:$C$34, "Indirect",'Task Durations'!I10:I34))</f>
        <v>21.816666666666666</v>
      </c>
      <c r="I6" s="9">
        <f>IF(SUMIF('Task Durations'!$C$10:$C$34, "Indirect",'Task Durations'!J10:J34)&lt;&gt;0,SUMIF('Task Durations'!$C$10:$C$34, "Indirect",'Task Durations'!J10:J34))</f>
        <v>17.95</v>
      </c>
      <c r="J6" s="9">
        <f>IF(SUMIF('Task Durations'!$C$10:$C$34, "Indirect",'Task Durations'!K10:K34)&lt;&gt;0,SUMIF('Task Durations'!$C$10:$C$34, "Indirect",'Task Durations'!K10:K34))</f>
        <v>29.099999999999998</v>
      </c>
      <c r="K6" s="9">
        <f>IF(SUMIF('Task Durations'!$C$10:$C$34, "Indirect",'Task Durations'!L10:L34)&lt;&gt;0,SUMIF('Task Durations'!$C$10:$C$34, "Indirect",'Task Durations'!L10:L34))</f>
        <v>18.364799999999999</v>
      </c>
      <c r="L6" s="9">
        <f>IF(SUMIF('Task Durations'!$C$10:$C$34, "Indirect",'Task Durations'!M10:M34)&lt;&gt;0,SUMIF('Task Durations'!$C$10:$C$34, "Indirect",'Task Durations'!M10:M34))</f>
        <v>38.783000000000001</v>
      </c>
      <c r="M6" s="9">
        <f>IF(SUMIF('Task Durations'!$C$10:$C$34, "Indirect",'Task Durations'!N10:N34)&lt;&gt;0,SUMIF('Task Durations'!$C$10:$C$34, "Indirect",'Task Durations'!N10:N34))</f>
        <v>27.867000000000001</v>
      </c>
      <c r="N6" s="9">
        <f>IF(SUMIF('Task Durations'!$C$10:$C$34, "Indirect",'Task Durations'!O10:O34)&lt;&gt;0,SUMIF('Task Durations'!$C$10:$C$34, "Indirect",'Task Durations'!O10:O34))</f>
        <v>27.299999999999997</v>
      </c>
      <c r="O6" s="9">
        <f>IF(SUMIF('Task Durations'!$C$10:$C$34, "Indirect",'Task Durations'!P10:P34)&lt;&gt;0,SUMIF('Task Durations'!$C$10:$C$34, "Indirect",'Task Durations'!P10:P34))</f>
        <v>12.533999999999999</v>
      </c>
      <c r="P6" s="9">
        <f>IF(SUMIF('Task Durations'!$C$10:$C$34, "Indirect",'Task Durations'!Q10:Q34)&lt;&gt;0,SUMIF('Task Durations'!$C$10:$C$34, "Indirect",'Task Durations'!Q10:Q34))</f>
        <v>28.850999999999999</v>
      </c>
      <c r="Q6" s="9">
        <f>IF(SUMIF('Task Durations'!$C$10:$C$34, "Indirect",'Task Durations'!R10:R34)&lt;&gt;0,SUMIF('Task Durations'!$C$10:$C$34, "Indirect",'Task Durations'!R10:R34))</f>
        <v>19.249299999999998</v>
      </c>
      <c r="R6" s="9">
        <f>IF(SUMIF('Task Durations'!$C$10:$C$34, "Indirect",'Task Durations'!S10:S34)&lt;&gt;0,SUMIF('Task Durations'!$C$10:$C$34, "Indirect",'Task Durations'!S10:S34))</f>
        <v>14.064499999999999</v>
      </c>
      <c r="S6" s="9">
        <f>IF(SUMIF('Task Durations'!$C$10:$C$34, "Indirect",'Task Durations'!T10:T34)&lt;&gt;0,SUMIF('Task Durations'!$C$10:$C$34, "Indirect",'Task Durations'!T10:T34))</f>
        <v>26.050999999999998</v>
      </c>
      <c r="T6" s="9">
        <f>IF(SUMIF('Task Durations'!$C$10:$C$34, "Indirect",'Task Durations'!U10:U34)&lt;&gt;0,SUMIF('Task Durations'!$C$10:$C$34, "Indirect",'Task Durations'!U10:U34))</f>
        <v>27.166999999999998</v>
      </c>
      <c r="U6" s="9">
        <f>IF(SUMIF('Task Durations'!$C$10:$C$34, "Indirect",'Task Durations'!V10:V34)&lt;&gt;0,SUMIF('Task Durations'!$C$10:$C$34, "Indirect",'Task Durations'!V10:V34))</f>
        <v>35.849999999999994</v>
      </c>
      <c r="V6" s="9">
        <f>IF(SUMIF('Task Durations'!$C$10:$C$34, "Indirect",'Task Durations'!W10:W34)&lt;&gt;0,SUMIF('Task Durations'!$C$10:$C$34, "Indirect",'Task Durations'!W10:W34))</f>
        <v>14.600000000000001</v>
      </c>
      <c r="W6" s="9">
        <f>IF(SUMIF('Task Durations'!$C$10:$C$34, "Indirect",'Task Durations'!X10:X34)&lt;&gt;0,SUMIF('Task Durations'!$C$10:$C$34, "Indirect",'Task Durations'!X10:X34))</f>
        <v>21.95</v>
      </c>
      <c r="X6" s="9">
        <f>IF(SUMIF('Task Durations'!$C$10:$C$34, "Indirect",'Task Durations'!Y10:Y34)&lt;&gt;0,SUMIF('Task Durations'!$C$10:$C$34, "Indirect",'Task Durations'!Y10:Y34))</f>
        <v>18.533000000000001</v>
      </c>
      <c r="Y6" s="9">
        <f>IF(SUMIF('Task Durations'!$C$10:$C$34, "Indirect",'Task Durations'!Z10:Z34)&lt;&gt;0,SUMIF('Task Durations'!$C$10:$C$34, "Indirect",'Task Durations'!Z10:Z34))</f>
        <v>16.400000000000002</v>
      </c>
      <c r="Z6" s="9">
        <f>IF(SUMIF('Task Durations'!$C$10:$C$34, "Indirect",'Task Durations'!AA10:AA34)&lt;&gt;0,SUMIF('Task Durations'!$C$10:$C$34, "Indirect",'Task Durations'!AA10:AA34))</f>
        <v>31.1</v>
      </c>
      <c r="AA6" s="9">
        <f>IF(SUMIF('Task Durations'!$C$10:$C$34, "Indirect",'Task Durations'!AB10:AB34)&lt;&gt;0,SUMIF('Task Durations'!$C$10:$C$34, "Indirect",'Task Durations'!AB10:AB34))</f>
        <v>16.967300000000002</v>
      </c>
      <c r="AB6" s="9">
        <f>IF(SUMIF('Task Durations'!$C$10:$C$34, "Indirect",'Task Durations'!AC10:AC34)&lt;&gt;0,SUMIF('Task Durations'!$C$10:$C$34, "Indirect",'Task Durations'!AC10:AC34))</f>
        <v>13.353499999999999</v>
      </c>
      <c r="AC6" s="9">
        <f>IF(SUMIF('Task Durations'!$C$10:$C$34, "Indirect",'Task Durations'!AD10:AD34)&lt;&gt;0,SUMIF('Task Durations'!$C$10:$C$34, "Indirect",'Task Durations'!AD10:AD34))</f>
        <v>13.178000000000001</v>
      </c>
      <c r="AD6" s="9">
        <f>IF(SUMIF('Task Durations'!$C$10:$C$34, "Indirect",'Task Durations'!AE10:AE34)&lt;&gt;0,SUMIF('Task Durations'!$C$10:$C$34, "Indirect",'Task Durations'!AE10:AE34))</f>
        <v>20.265999999999998</v>
      </c>
      <c r="AE6" s="9">
        <f>IF(SUMIF('Task Durations'!$C$10:$C$34, "Indirect",'Task Durations'!AF10:AF34)&lt;&gt;0,SUMIF('Task Durations'!$C$10:$C$34, "Indirect",'Task Durations'!AF10:AF34))</f>
        <v>16.150300000000001</v>
      </c>
      <c r="AF6" s="9">
        <f>IF(SUMIF('Task Durations'!$C$10:$C$34, "Indirect",'Task Durations'!AG10:AG34)&lt;&gt;0,SUMIF('Task Durations'!$C$10:$C$34, "Indirect",'Task Durations'!AG10:AG34))</f>
        <v>28.183299999999999</v>
      </c>
      <c r="AG6" s="9">
        <f>IF(SUMIF('Task Durations'!$C$10:$C$34, "Indirect",'Task Durations'!AH10:AH34)&lt;&gt;0,SUMIF('Task Durations'!$C$10:$C$34, "Indirect",'Task Durations'!AH10:AH34))</f>
        <v>20.2163</v>
      </c>
      <c r="AH6" s="9">
        <f>IF(SUMIF('Task Durations'!$C$10:$C$34, "Indirect",'Task Durations'!AI10:AI34)&lt;&gt;0,SUMIF('Task Durations'!$C$10:$C$34, "Indirect",'Task Durations'!AI10:AI34))</f>
        <v>21.300000000000004</v>
      </c>
      <c r="AI6" s="9">
        <f>IF(SUMIF('Task Durations'!$C$10:$C$34, "Indirect",'Task Durations'!AJ10:AJ34)&lt;&gt;0,SUMIF('Task Durations'!$C$10:$C$34, "Indirect",'Task Durations'!AJ10:AJ34))</f>
        <v>23.132999999999999</v>
      </c>
      <c r="AJ6" s="9">
        <f>IF(SUMIF('Task Durations'!$C$10:$C$34, "Indirect",'Task Durations'!AK10:AK34)&lt;&gt;0,SUMIF('Task Durations'!$C$10:$C$34, "Indirect",'Task Durations'!AK10:AK34))</f>
        <v>29.082999999999998</v>
      </c>
      <c r="AK6" s="9">
        <f>IF(SUMIF('Task Durations'!$C$10:$C$34, "Indirect",'Task Durations'!AL10:AL34)&lt;&gt;0,SUMIF('Task Durations'!$C$10:$C$34, "Indirect",'Task Durations'!AL10:AL34))</f>
        <v>27.716999999999999</v>
      </c>
      <c r="AL6" s="9">
        <f>IF(SUMIF('Task Durations'!$C$10:$C$34, "Indirect",'Task Durations'!AM10:AM34)&lt;&gt;0,SUMIF('Task Durations'!$C$10:$C$34, "Indirect",'Task Durations'!AM10:AM34))</f>
        <v>12.149999999999999</v>
      </c>
      <c r="AM6" s="9">
        <f>IF(SUMIF('Task Durations'!$C$10:$C$34, "Indirect",'Task Durations'!AN10:AN34)&lt;&gt;0,SUMIF('Task Durations'!$C$10:$C$34, "Indirect",'Task Durations'!AN10:AN34))</f>
        <v>31.971999999999998</v>
      </c>
      <c r="AN6" s="9">
        <f>IF(SUMIF('Task Durations'!$C$10:$C$34, "Indirect",'Task Durations'!AO10:AO34)&lt;&gt;0,SUMIF('Task Durations'!$C$10:$C$34, "Indirect",'Task Durations'!AO10:AO34))</f>
        <v>30.716300000000004</v>
      </c>
      <c r="AO6" s="9">
        <f>IF(SUMIF('Task Durations'!$C$10:$C$34, "Indirect",'Task Durations'!AP10:AP34)&lt;&gt;0,SUMIF('Task Durations'!$C$10:$C$34, "Indirect",'Task Durations'!AP10:AP34))</f>
        <v>27.817</v>
      </c>
      <c r="AP6" s="9">
        <f>IF(SUMIF('Task Durations'!$C$10:$C$34, "Indirect",'Task Durations'!AQ10:AQ34)&lt;&gt;0,SUMIF('Task Durations'!$C$10:$C$34, "Indirect",'Task Durations'!AQ10:AQ34))</f>
        <v>24.167000000000002</v>
      </c>
      <c r="AQ6" s="9">
        <f>IF(SUMIF('Task Durations'!$C$10:$C$34, "Indirect",'Task Durations'!AR10:AR34)&lt;&gt;0,SUMIF('Task Durations'!$C$10:$C$34, "Indirect",'Task Durations'!AR10:AR34))</f>
        <v>11.967000000000002</v>
      </c>
      <c r="AR6" s="9">
        <f>IF(SUMIF('Task Durations'!$C$10:$C$34, "Indirect",'Task Durations'!AS10:AS34)&lt;&gt;0,SUMIF('Task Durations'!$C$10:$C$34, "Indirect",'Task Durations'!AS10:AS34))</f>
        <v>19.408999999999999</v>
      </c>
      <c r="AS6" s="9">
        <f>IF(SUMIF('Task Durations'!$C$10:$C$34, "Indirect",'Task Durations'!AT10:AT34)&lt;&gt;0,SUMIF('Task Durations'!$C$10:$C$34, "Indirect",'Task Durations'!AT10:AT34))</f>
        <v>16.032999999999998</v>
      </c>
      <c r="AT6" s="9">
        <f>IF(SUMIF('Task Durations'!$C$10:$C$34, "Indirect",'Task Durations'!AU10:AU34)&lt;&gt;0,SUMIF('Task Durations'!$C$10:$C$34, "Indirect",'Task Durations'!AU10:AU34))</f>
        <v>22.683</v>
      </c>
      <c r="AU6" s="9">
        <f>IF(SUMIF('Task Durations'!$C$10:$C$34, "Indirect",'Task Durations'!AV10:AV34)&lt;&gt;0,SUMIF('Task Durations'!$C$10:$C$34, "Indirect",'Task Durations'!AV10:AV34))</f>
        <v>34.224299999999999</v>
      </c>
      <c r="AV6" s="9">
        <f>IF(SUMIF('Task Durations'!$C$10:$C$34, "Indirect",'Task Durations'!AW10:AW34)&lt;&gt;0,SUMIF('Task Durations'!$C$10:$C$34, "Indirect",'Task Durations'!AW10:AW34))</f>
        <v>30.300999999999998</v>
      </c>
      <c r="AW6" s="9">
        <f>IF(SUMIF('Task Durations'!$C$10:$C$34, "Indirect",'Task Durations'!AX10:AX34)&lt;&gt;0,SUMIF('Task Durations'!$C$10:$C$34, "Indirect",'Task Durations'!AX10:AX34))</f>
        <v>18</v>
      </c>
      <c r="AX6" s="9">
        <f>IF(SUMIF('Task Durations'!$C$10:$C$34, "Indirect",'Task Durations'!AY10:AY34)&lt;&gt;0,SUMIF('Task Durations'!$C$10:$C$34, "Indirect",'Task Durations'!AY10:AY34))</f>
        <v>17.233000000000001</v>
      </c>
      <c r="AY6" s="9">
        <f>IF(SUMIF('Task Durations'!$C$10:$C$34, "Indirect",'Task Durations'!AZ10:AZ34)&lt;&gt;0,SUMIF('Task Durations'!$C$10:$C$34, "Indirect",'Task Durations'!AZ10:AZ34))</f>
        <v>15.481999999999999</v>
      </c>
      <c r="AZ6" s="9">
        <f>IF(SUMIF('Task Durations'!$C$10:$C$34, "Indirect",'Task Durations'!BA10:BA34)&lt;&gt;0,SUMIF('Task Durations'!$C$10:$C$34, "Indirect",'Task Durations'!BA10:BA34))</f>
        <v>19.165699999999998</v>
      </c>
      <c r="BA6" s="9">
        <f>IF(SUMIF('Task Durations'!$C$10:$C$34, "Indirect",'Task Durations'!BB10:BB34)&lt;&gt;0,SUMIF('Task Durations'!$C$10:$C$34, "Indirect",'Task Durations'!BB10:BB34))</f>
        <v>26.967000000000006</v>
      </c>
      <c r="BB6" s="9">
        <f>IF(SUMIF('Task Durations'!$C$10:$C$34, "Indirect",'Task Durations'!BC10:BC34)&lt;&gt;0,SUMIF('Task Durations'!$C$10:$C$34, "Indirect",'Task Durations'!BC10:BC34))</f>
        <v>19.5167</v>
      </c>
      <c r="BC6" s="9">
        <f>IF(SUMIF('Task Durations'!$C$10:$C$34, "Indirect",'Task Durations'!BD10:BD34)&lt;&gt;0,SUMIF('Task Durations'!$C$10:$C$34, "Indirect",'Task Durations'!BD10:BD34))</f>
        <v>20.049999999999997</v>
      </c>
      <c r="BD6" s="9">
        <f>IF(SUMIF('Task Durations'!$C$10:$C$34, "Indirect",'Task Durations'!BE10:BE34)&lt;&gt;0,SUMIF('Task Durations'!$C$10:$C$34, "Indirect",'Task Durations'!BE10:BE34))</f>
        <v>26.700299999999999</v>
      </c>
      <c r="BE6" s="9">
        <f>IF(SUMIF('Task Durations'!$C$10:$C$34, "Indirect",'Task Durations'!BF10:BF34)&lt;&gt;0,SUMIF('Task Durations'!$C$10:$C$34, "Indirect",'Task Durations'!BF10:BF34))</f>
        <v>18.183</v>
      </c>
      <c r="BF6" s="9">
        <f>IF(SUMIF('Task Durations'!$C$10:$C$34, "Indirect",'Task Durations'!BG10:BG34)&lt;&gt;0,SUMIF('Task Durations'!$C$10:$C$34, "Indirect",'Task Durations'!BG10:BG34))</f>
        <v>19.497999999999998</v>
      </c>
      <c r="BG6" s="9">
        <f>IF(SUMIF('Task Durations'!$C$10:$C$34, "Indirect",'Task Durations'!BH10:BH34)&lt;&gt;0,SUMIF('Task Durations'!$C$10:$C$34, "Indirect",'Task Durations'!BH10:BH34))</f>
        <v>18.0337</v>
      </c>
      <c r="BH6" s="9">
        <f>IF(SUMIF('Task Durations'!$C$10:$C$34, "Indirect",'Task Durations'!BI10:BI34)&lt;&gt;0,SUMIF('Task Durations'!$C$10:$C$34, "Indirect",'Task Durations'!BI10:BI34))</f>
        <v>16.351300000000002</v>
      </c>
      <c r="BI6" s="9">
        <f>IF(SUMIF('Task Durations'!$C$10:$C$34, "Indirect",'Task Durations'!BJ10:BJ34)&lt;&gt;0,SUMIF('Task Durations'!$C$10:$C$34, "Indirect",'Task Durations'!BJ10:BJ34))</f>
        <v>26.85</v>
      </c>
      <c r="BJ6" s="9">
        <f>IF(SUMIF('Task Durations'!$C$10:$C$34, "Indirect",'Task Durations'!BK10:BK34)&lt;&gt;0,SUMIF('Task Durations'!$C$10:$C$34, "Indirect",'Task Durations'!BK10:BK34))</f>
        <v>12.082999999999998</v>
      </c>
      <c r="BK6" s="9">
        <f>IF(SUMIF('Task Durations'!$C$10:$C$34, "Indirect",'Task Durations'!BL10:BL34)&lt;&gt;0,SUMIF('Task Durations'!$C$10:$C$34, "Indirect",'Task Durations'!BL10:BL34))</f>
        <v>23.386199999999999</v>
      </c>
      <c r="BL6" s="9">
        <f>IF(SUMIF('Task Durations'!$C$10:$C$34, "Indirect",'Task Durations'!BM10:BM34)&lt;&gt;0,SUMIF('Task Durations'!$C$10:$C$34, "Indirect",'Task Durations'!BM10:BM34))</f>
        <v>9.7840000000000007</v>
      </c>
      <c r="BM6" s="9">
        <f>IF(SUMIF('Task Durations'!$C$10:$C$34, "Indirect",'Task Durations'!BN10:BN34)&lt;&gt;0,SUMIF('Task Durations'!$C$10:$C$34, "Indirect",'Task Durations'!BN10:BN34))</f>
        <v>42.033999999999999</v>
      </c>
      <c r="BN6" s="9">
        <f>IF(SUMIF('Task Durations'!$C$10:$C$34, "Indirect",'Task Durations'!BO10:BO34)&lt;&gt;0,SUMIF('Task Durations'!$C$10:$C$34, "Indirect",'Task Durations'!BO10:BO34))</f>
        <v>29.367000000000001</v>
      </c>
      <c r="BO6" s="9">
        <f>IF(SUMIF('Task Durations'!$C$10:$C$34, "Indirect",'Task Durations'!BP10:BP34)&lt;&gt;0,SUMIF('Task Durations'!$C$10:$C$34, "Indirect",'Task Durations'!BP10:BP34))</f>
        <v>33.742000000000004</v>
      </c>
      <c r="BP6" s="9">
        <f>IF(SUMIF('Task Durations'!$C$10:$C$34, "Indirect",'Task Durations'!BQ10:BQ34)&lt;&gt;0,SUMIF('Task Durations'!$C$10:$C$34, "Indirect",'Task Durations'!BQ10:BQ34))</f>
        <v>15.649000000000001</v>
      </c>
      <c r="BQ6" s="9">
        <f>IF(SUMIF('Task Durations'!$C$10:$C$34, "Indirect",'Task Durations'!BR10:BR34)&lt;&gt;0,SUMIF('Task Durations'!$C$10:$C$34, "Indirect",'Task Durations'!BR10:BR34))</f>
        <v>15.3</v>
      </c>
      <c r="BR6" s="9">
        <f>IF(SUMIF('Task Durations'!$C$10:$C$34, "Indirect",'Task Durations'!BS10:BS34)&lt;&gt;0,SUMIF('Task Durations'!$C$10:$C$34, "Indirect",'Task Durations'!BS10:BS34))</f>
        <v>7.3056999999999981</v>
      </c>
      <c r="BS6" s="9">
        <f>IF(SUMIF('Task Durations'!$C$10:$C$34, "Indirect",'Task Durations'!BT10:BT34)&lt;&gt;0,SUMIF('Task Durations'!$C$10:$C$34, "Indirect",'Task Durations'!BT10:BT34))</f>
        <v>12.067</v>
      </c>
      <c r="BT6" s="9">
        <f>IF(SUMIF('Task Durations'!$C$10:$C$34, "Indirect",'Task Durations'!BU10:BU34)&lt;&gt;0,SUMIF('Task Durations'!$C$10:$C$34, "Indirect",'Task Durations'!BU10:BU34))</f>
        <v>18.183</v>
      </c>
      <c r="BU6" s="9">
        <f>IF(SUMIF('Task Durations'!$C$10:$C$34, "Indirect",'Task Durations'!BV10:BV34)&lt;&gt;0,SUMIF('Task Durations'!$C$10:$C$34, "Indirect",'Task Durations'!BV10:BV34))</f>
        <v>24.083300000000008</v>
      </c>
      <c r="BV6" s="9">
        <f>IF(SUMIF('Task Durations'!$C$10:$C$34, "Indirect",'Task Durations'!BW10:BW34)&lt;&gt;0,SUMIF('Task Durations'!$C$10:$C$34, "Indirect",'Task Durations'!BW10:BW34))</f>
        <v>19.883299999999998</v>
      </c>
      <c r="BW6" s="9">
        <f>IF(SUMIF('Task Durations'!$C$10:$C$34, "Indirect",'Task Durations'!BX10:BX34)&lt;&gt;0,SUMIF('Task Durations'!$C$10:$C$34, "Indirect",'Task Durations'!BX10:BX34))</f>
        <v>17.183299999999999</v>
      </c>
      <c r="BX6" s="9">
        <f>IF(SUMIF('Task Durations'!$C$10:$C$34, "Indirect",'Task Durations'!BY10:BY34)&lt;&gt;0,SUMIF('Task Durations'!$C$10:$C$34, "Indirect",'Task Durations'!BY10:BY34))</f>
        <v>15.767000000000001</v>
      </c>
      <c r="BY6" s="9">
        <f>IF(SUMIF('Task Durations'!$C$10:$C$34, "Indirect",'Task Durations'!BZ10:BZ34)&lt;&gt;0,SUMIF('Task Durations'!$C$10:$C$34, "Indirect",'Task Durations'!BZ10:BZ34))</f>
        <v>21.083000000000002</v>
      </c>
      <c r="BZ6" s="9">
        <f>IF(SUMIF('Task Durations'!$C$10:$C$34, "Indirect",'Task Durations'!CA10:CA34)&lt;&gt;0,SUMIF('Task Durations'!$C$10:$C$34, "Indirect",'Task Durations'!CA10:CA34))</f>
        <v>13.616</v>
      </c>
      <c r="CA6" s="9">
        <f>IF(SUMIF('Task Durations'!$C$10:$C$34, "Indirect",'Task Durations'!CB10:CB34)&lt;&gt;0,SUMIF('Task Durations'!$C$10:$C$34, "Indirect",'Task Durations'!CB10:CB34))</f>
        <v>33.683</v>
      </c>
      <c r="CB6" s="9">
        <f>IF(SUMIF('Task Durations'!$C$10:$C$34, "Indirect",'Task Durations'!CC10:CC34)&lt;&gt;0,SUMIF('Task Durations'!$C$10:$C$34, "Indirect",'Task Durations'!CC10:CC34))</f>
        <v>26.1</v>
      </c>
      <c r="CC6" s="9">
        <f>IF(SUMIF('Task Durations'!$C$10:$C$34, "Indirect",'Task Durations'!CD10:CD34)&lt;&gt;0,SUMIF('Task Durations'!$C$10:$C$34, "Indirect",'Task Durations'!CD10:CD34))</f>
        <v>10.867000000000001</v>
      </c>
      <c r="CD6" s="9">
        <f>IF(SUMIF('Task Durations'!$C$10:$C$34, "Indirect",'Task Durations'!CE10:CE34)&lt;&gt;0,SUMIF('Task Durations'!$C$10:$C$34, "Indirect",'Task Durations'!CE10:CE34))</f>
        <v>8.5829999999999984</v>
      </c>
      <c r="CE6" s="9">
        <f>IF(SUMIF('Task Durations'!$C$10:$C$34, "Indirect",'Task Durations'!CF10:CF34)&lt;&gt;0,SUMIF('Task Durations'!$C$10:$C$34, "Indirect",'Task Durations'!CF10:CF34))</f>
        <v>19.566299999999998</v>
      </c>
      <c r="CF6" s="9">
        <f>IF(SUMIF('Task Durations'!$C$10:$C$34, "Indirect",'Task Durations'!CG10:CG34)&lt;&gt;0,SUMIF('Task Durations'!$C$10:$C$34, "Indirect",'Task Durations'!CG10:CG34))</f>
        <v>28.067</v>
      </c>
      <c r="CG6" s="9">
        <f>IF(SUMIF('Task Durations'!$C$10:$C$34, "Indirect",'Task Durations'!CH10:CH34)&lt;&gt;0,SUMIF('Task Durations'!$C$10:$C$34, "Indirect",'Task Durations'!CH10:CH34))</f>
        <v>44.132999999999996</v>
      </c>
      <c r="CH6" s="9">
        <f>IF(SUMIF('Task Durations'!$C$10:$C$34, "Indirect",'Task Durations'!CI10:CI34)&lt;&gt;0,SUMIF('Task Durations'!$C$10:$C$34, "Indirect",'Task Durations'!CI10:CI34))</f>
        <v>22.5</v>
      </c>
      <c r="CI6" s="9">
        <f>IF(SUMIF('Task Durations'!$C$10:$C$34, "Indirect",'Task Durations'!CJ10:CJ34)&lt;&gt;0,SUMIF('Task Durations'!$C$10:$C$34, "Indirect",'Task Durations'!CJ10:CJ34))</f>
        <v>21.25</v>
      </c>
      <c r="CJ6" s="9">
        <f>IF(SUMIF('Task Durations'!$C$10:$C$34, "Indirect",'Task Durations'!CK10:CK34)&lt;&gt;0,SUMIF('Task Durations'!$C$10:$C$34, "Indirect",'Task Durations'!CK10:CK34))</f>
        <v>23.483000000000004</v>
      </c>
      <c r="CK6" s="9">
        <f>IF(SUMIF('Task Durations'!$C$10:$C$34, "Indirect",'Task Durations'!CL10:CL34)&lt;&gt;0,SUMIF('Task Durations'!$C$10:$C$34, "Indirect",'Task Durations'!CL10:CL34))</f>
        <v>14.968999999999998</v>
      </c>
      <c r="CL6" s="9">
        <f>IF(SUMIF('Task Durations'!$C$10:$C$34, "Indirect",'Task Durations'!CM10:CM34)&lt;&gt;0,SUMIF('Task Durations'!$C$10:$C$34, "Indirect",'Task Durations'!CM10:CM34))</f>
        <v>23.798999999999999</v>
      </c>
      <c r="CM6" s="9"/>
      <c r="CN6" s="9"/>
    </row>
    <row r="7" spans="1:92" x14ac:dyDescent="0.25">
      <c r="A7" s="345"/>
      <c r="B7" s="1" t="s">
        <v>9</v>
      </c>
      <c r="C7" s="9">
        <f>IF(SUMIF('Task Durations'!$C$10:$C$34, "Travel (Internal)",'Task Durations'!D10:D34),SUMIF('Task Durations'!$C$10:$C$34, "Travel (Internal)",'Task Durations'!D10:D34))</f>
        <v>9.6833333333333318</v>
      </c>
      <c r="D7" s="9">
        <f>IF(SUMIF('Task Durations'!$C$10:$C$34, "Travel (Internal)",'Task Durations'!E10:E34),SUMIF('Task Durations'!$C$10:$C$34, "Travel (Internal)",'Task Durations'!E10:E34))</f>
        <v>3.5509999999999948</v>
      </c>
      <c r="E7" s="9">
        <f>IF(SUMIF('Task Durations'!$C$10:$C$34, "Travel (Internal)",'Task Durations'!F10:F34),SUMIF('Task Durations'!$C$10:$C$34, "Travel (Internal)",'Task Durations'!F10:F34))</f>
        <v>2.716666666666665</v>
      </c>
      <c r="F7" s="9">
        <f>IF(SUMIF('Task Durations'!$C$10:$C$34, "Travel (Internal)",'Task Durations'!G10:G34),SUMIF('Task Durations'!$C$10:$C$34, "Travel (Internal)",'Task Durations'!G10:G34))</f>
        <v>8.5330000000000048</v>
      </c>
      <c r="G7" s="9">
        <f>IF(SUMIF('Task Durations'!$C$10:$C$34, "Travel (Internal)",'Task Durations'!H10:H34),SUMIF('Task Durations'!$C$10:$C$34, "Travel (Internal)",'Task Durations'!H10:H34))</f>
        <v>4.8850000000000016</v>
      </c>
      <c r="H7" s="9">
        <f>IF(SUMIF('Task Durations'!$C$10:$C$34, "Travel (Internal)",'Task Durations'!I10:I34),SUMIF('Task Durations'!$C$10:$C$34, "Travel (Internal)",'Task Durations'!I10:I34))</f>
        <v>12.25</v>
      </c>
      <c r="I7" s="9">
        <f>IF(SUMIF('Task Durations'!$C$10:$C$34, "Travel (Internal)",'Task Durations'!J10:J34),SUMIF('Task Durations'!$C$10:$C$34, "Travel (Internal)",'Task Durations'!J10:J34))</f>
        <v>2.116666666666668</v>
      </c>
      <c r="J7" s="9">
        <f>IF(SUMIF('Task Durations'!$C$10:$C$34, "Travel (Internal)",'Task Durations'!K10:K34),SUMIF('Task Durations'!$C$10:$C$34, "Travel (Internal)",'Task Durations'!K10:K34))</f>
        <v>5.55</v>
      </c>
      <c r="K7" s="9">
        <f>IF(SUMIF('Task Durations'!$C$10:$C$34, "Travel (Internal)",'Task Durations'!L10:L34),SUMIF('Task Durations'!$C$10:$C$34, "Travel (Internal)",'Task Durations'!L10:L34))</f>
        <v>2.1780000000000008</v>
      </c>
      <c r="L7" s="9">
        <f>IF(SUMIF('Task Durations'!$C$10:$C$34, "Travel (Internal)",'Task Durations'!M10:M34),SUMIF('Task Durations'!$C$10:$C$34, "Travel (Internal)",'Task Durations'!M10:M34))</f>
        <v>2.8836666666666662</v>
      </c>
      <c r="M7" s="9">
        <f>IF(SUMIF('Task Durations'!$C$10:$C$34, "Travel (Internal)",'Task Durations'!N10:N34),SUMIF('Task Durations'!$C$10:$C$34, "Travel (Internal)",'Task Durations'!N10:N34))</f>
        <v>2.6992999999999983</v>
      </c>
      <c r="N7" s="9">
        <f>IF(SUMIF('Task Durations'!$C$10:$C$34, "Travel (Internal)",'Task Durations'!O10:O34),SUMIF('Task Durations'!$C$10:$C$34, "Travel (Internal)",'Task Durations'!O10:O34))</f>
        <v>3.916999999999998</v>
      </c>
      <c r="O7" s="9">
        <f>IF(SUMIF('Task Durations'!$C$10:$C$34, "Travel (Internal)",'Task Durations'!P10:P34),SUMIF('Task Durations'!$C$10:$C$34, "Travel (Internal)",'Task Durations'!P10:P34))</f>
        <v>3.3670000000000018</v>
      </c>
      <c r="P7" s="9">
        <f>IF(SUMIF('Task Durations'!$C$10:$C$34, "Travel (Internal)",'Task Durations'!Q10:Q34),SUMIF('Task Durations'!$C$10:$C$34, "Travel (Internal)",'Task Durations'!Q10:Q34))</f>
        <v>3.1340000000000048</v>
      </c>
      <c r="Q7" s="9">
        <f>IF(SUMIF('Task Durations'!$C$10:$C$34, "Travel (Internal)",'Task Durations'!R10:R34),SUMIF('Task Durations'!$C$10:$C$34, "Travel (Internal)",'Task Durations'!R10:R34))</f>
        <v>5.1669999999999998</v>
      </c>
      <c r="R7" s="9">
        <f>IF(SUMIF('Task Durations'!$C$10:$C$34, "Travel (Internal)",'Task Durations'!S10:S34),SUMIF('Task Durations'!$C$10:$C$34, "Travel (Internal)",'Task Durations'!S10:S34))</f>
        <v>3.2145000000000028</v>
      </c>
      <c r="S7" s="9">
        <f>IF(SUMIF('Task Durations'!$C$10:$C$34, "Travel (Internal)",'Task Durations'!T10:T34),SUMIF('Task Durations'!$C$10:$C$34, "Travel (Internal)",'Task Durations'!T10:T34))</f>
        <v>2.8660000000000014</v>
      </c>
      <c r="T7" s="9">
        <f>IF(SUMIF('Task Durations'!$C$10:$C$34, "Travel (Internal)",'Task Durations'!U10:U34),SUMIF('Task Durations'!$C$10:$C$34, "Travel (Internal)",'Task Durations'!U10:U34))</f>
        <v>1.2833000000000034</v>
      </c>
      <c r="U7" s="9">
        <f>IF(SUMIF('Task Durations'!$C$10:$C$34, "Travel (Internal)",'Task Durations'!V10:V34),SUMIF('Task Durations'!$C$10:$C$34, "Travel (Internal)",'Task Durations'!V10:V34))</f>
        <v>38.118000000000002</v>
      </c>
      <c r="V7" s="9">
        <f>IF(SUMIF('Task Durations'!$C$10:$C$34, "Travel (Internal)",'Task Durations'!W10:W34),SUMIF('Task Durations'!$C$10:$C$34, "Travel (Internal)",'Task Durations'!W10:W34))</f>
        <v>6.2677000000000005</v>
      </c>
      <c r="W7" s="9">
        <f>IF(SUMIF('Task Durations'!$C$10:$C$34, "Travel (Internal)",'Task Durations'!X10:X34),SUMIF('Task Durations'!$C$10:$C$34, "Travel (Internal)",'Task Durations'!X10:X34))</f>
        <v>0.89969999999999928</v>
      </c>
      <c r="X7" s="9">
        <f>IF(SUMIF('Task Durations'!$C$10:$C$34, "Travel (Internal)",'Task Durations'!Y10:Y34),SUMIF('Task Durations'!$C$10:$C$34, "Travel (Internal)",'Task Durations'!Y10:Y34))</f>
        <v>6.4843000000000037</v>
      </c>
      <c r="Y7" s="9">
        <f>IF(SUMIF('Task Durations'!$C$10:$C$34, "Travel (Internal)",'Task Durations'!Z10:Z34),SUMIF('Task Durations'!$C$10:$C$34, "Travel (Internal)",'Task Durations'!Z10:Z34))</f>
        <v>5.8699999999999974</v>
      </c>
      <c r="Z7" s="9">
        <f>IF(SUMIF('Task Durations'!$C$10:$C$34, "Travel (Internal)",'Task Durations'!AA10:AA34),SUMIF('Task Durations'!$C$10:$C$34, "Travel (Internal)",'Task Durations'!AA10:AA34))</f>
        <v>1.1836999999999984</v>
      </c>
      <c r="AA7" s="9">
        <f>IF(SUMIF('Task Durations'!$C$10:$C$34, "Travel (Internal)",'Task Durations'!AB10:AB34),SUMIF('Task Durations'!$C$10:$C$34, "Travel (Internal)",'Task Durations'!AB10:AB34))</f>
        <v>6.6492999999999984</v>
      </c>
      <c r="AB7" s="9">
        <f>IF(SUMIF('Task Durations'!$C$10:$C$34, "Travel (Internal)",'Task Durations'!AC10:AC34),SUMIF('Task Durations'!$C$10:$C$34, "Travel (Internal)",'Task Durations'!AC10:AC34))</f>
        <v>1.6096999999999979</v>
      </c>
      <c r="AC7" s="9">
        <f>IF(SUMIF('Task Durations'!$C$10:$C$34, "Travel (Internal)",'Task Durations'!AD10:AD34),SUMIF('Task Durations'!$C$10:$C$34, "Travel (Internal)",'Task Durations'!AD10:AD34))</f>
        <v>2.3366999999999969</v>
      </c>
      <c r="AD7" s="9">
        <f>IF(SUMIF('Task Durations'!$C$10:$C$34, "Travel (Internal)",'Task Durations'!AE10:AE34),SUMIF('Task Durations'!$C$10:$C$34, "Travel (Internal)",'Task Durations'!AE10:AE34))</f>
        <v>14.469000000000003</v>
      </c>
      <c r="AE7" s="9">
        <f>IF(SUMIF('Task Durations'!$C$10:$C$34, "Travel (Internal)",'Task Durations'!AF10:AF34),SUMIF('Task Durations'!$C$10:$C$34, "Travel (Internal)",'Task Durations'!AF10:AF34))</f>
        <v>9.8666000000000018</v>
      </c>
      <c r="AF7" s="9">
        <f>IF(SUMIF('Task Durations'!$C$10:$C$34, "Travel (Internal)",'Task Durations'!AG10:AG34),SUMIF('Task Durations'!$C$10:$C$34, "Travel (Internal)",'Task Durations'!AG10:AG34))</f>
        <v>8.7836999999999961</v>
      </c>
      <c r="AG7" s="9">
        <f>IF(SUMIF('Task Durations'!$C$10:$C$34, "Travel (Internal)",'Task Durations'!AH10:AH34),SUMIF('Task Durations'!$C$10:$C$34, "Travel (Internal)",'Task Durations'!AH10:AH34))</f>
        <v>3.8326999999999991</v>
      </c>
      <c r="AH7" s="9">
        <f>IF(SUMIF('Task Durations'!$C$10:$C$34, "Travel (Internal)",'Task Durations'!AI10:AI34),SUMIF('Task Durations'!$C$10:$C$34, "Travel (Internal)",'Task Durations'!AI10:AI34))</f>
        <v>9.7493000000000016</v>
      </c>
      <c r="AI7" s="9">
        <f>IF(SUMIF('Task Durations'!$C$10:$C$34, "Travel (Internal)",'Task Durations'!AJ10:AJ34),SUMIF('Task Durations'!$C$10:$C$34, "Travel (Internal)",'Task Durations'!AJ10:AJ34))</f>
        <v>15.695700000000004</v>
      </c>
      <c r="AJ7" s="9">
        <f>IF(SUMIF('Task Durations'!$C$10:$C$34, "Travel (Internal)",'Task Durations'!AK10:AK34),SUMIF('Task Durations'!$C$10:$C$34, "Travel (Internal)",'Task Durations'!AK10:AK34))</f>
        <v>7.5170000000000039</v>
      </c>
      <c r="AK7" s="9">
        <f>IF(SUMIF('Task Durations'!$C$10:$C$34, "Travel (Internal)",'Task Durations'!AL10:AL34),SUMIF('Task Durations'!$C$10:$C$34, "Travel (Internal)",'Task Durations'!AL10:AL34))</f>
        <v>5.4659999999999993</v>
      </c>
      <c r="AL7" s="9">
        <f>IF(SUMIF('Task Durations'!$C$10:$C$34, "Travel (Internal)",'Task Durations'!AM10:AM34),SUMIF('Task Durations'!$C$10:$C$34, "Travel (Internal)",'Task Durations'!AM10:AM34))</f>
        <v>4.1999999999999993</v>
      </c>
      <c r="AM7" s="9">
        <f>IF(SUMIF('Task Durations'!$C$10:$C$34, "Travel (Internal)",'Task Durations'!AN10:AN34),SUMIF('Task Durations'!$C$10:$C$34, "Travel (Internal)",'Task Durations'!AN10:AN34))</f>
        <v>1.6780000000000019</v>
      </c>
      <c r="AN7" s="9">
        <f>IF(SUMIF('Task Durations'!$C$10:$C$34, "Travel (Internal)",'Task Durations'!AO10:AO34),SUMIF('Task Durations'!$C$10:$C$34, "Travel (Internal)",'Task Durations'!AO10:AO34))</f>
        <v>7.5347000000000026</v>
      </c>
      <c r="AO7" s="9">
        <f>IF(SUMIF('Task Durations'!$C$10:$C$34, "Travel (Internal)",'Task Durations'!AP10:AP34),SUMIF('Task Durations'!$C$10:$C$34, "Travel (Internal)",'Task Durations'!AP10:AP34))</f>
        <v>2.4170000000000034</v>
      </c>
      <c r="AP7" s="9">
        <f>IF(SUMIF('Task Durations'!$C$10:$C$34, "Travel (Internal)",'Task Durations'!AQ10:AQ34),SUMIF('Task Durations'!$C$10:$C$34, "Travel (Internal)",'Task Durations'!AQ10:AQ34))</f>
        <v>8.4496000000000002</v>
      </c>
      <c r="AQ7" s="9">
        <f>IF(SUMIF('Task Durations'!$C$10:$C$34, "Travel (Internal)",'Task Durations'!AR10:AR34),SUMIF('Task Durations'!$C$10:$C$34, "Travel (Internal)",'Task Durations'!AR10:AR34))</f>
        <v>9.3320000000000007</v>
      </c>
      <c r="AR7" s="9">
        <f>IF(SUMIF('Task Durations'!$C$10:$C$34, "Travel (Internal)",'Task Durations'!AS10:AS34),SUMIF('Task Durations'!$C$10:$C$34, "Travel (Internal)",'Task Durations'!AS10:AS34))</f>
        <v>5.0715000000000021</v>
      </c>
      <c r="AS7" s="9">
        <f>IF(SUMIF('Task Durations'!$C$10:$C$34, "Travel (Internal)",'Task Durations'!AT10:AT34),SUMIF('Task Durations'!$C$10:$C$34, "Travel (Internal)",'Task Durations'!AT10:AT34))</f>
        <v>9.7170000000000023</v>
      </c>
      <c r="AT7" s="9">
        <f>IF(SUMIF('Task Durations'!$C$10:$C$34, "Travel (Internal)",'Task Durations'!AU10:AU34),SUMIF('Task Durations'!$C$10:$C$34, "Travel (Internal)",'Task Durations'!AU10:AU34))</f>
        <v>13.1503</v>
      </c>
      <c r="AU7" s="9">
        <f>IF(SUMIF('Task Durations'!$C$10:$C$34, "Travel (Internal)",'Task Durations'!AV10:AV34),SUMIF('Task Durations'!$C$10:$C$34, "Travel (Internal)",'Task Durations'!AV10:AV34))</f>
        <v>15.248000000000003</v>
      </c>
      <c r="AV7" s="9">
        <f>IF(SUMIF('Task Durations'!$C$10:$C$34, "Travel (Internal)",'Task Durations'!AW10:AW34),SUMIF('Task Durations'!$C$10:$C$34, "Travel (Internal)",'Task Durations'!AW10:AW34))</f>
        <v>1.4987000000000013</v>
      </c>
      <c r="AW7" s="9">
        <f>IF(SUMIF('Task Durations'!$C$10:$C$34, "Travel (Internal)",'Task Durations'!AX10:AX34),SUMIF('Task Durations'!$C$10:$C$34, "Travel (Internal)",'Task Durations'!AX10:AX34))</f>
        <v>10.499999999999998</v>
      </c>
      <c r="AX7" s="9">
        <f>IF(SUMIF('Task Durations'!$C$10:$C$34, "Travel (Internal)",'Task Durations'!AY10:AY34),SUMIF('Task Durations'!$C$10:$C$34, "Travel (Internal)",'Task Durations'!AY10:AY34))</f>
        <v>7.6669999999999998</v>
      </c>
      <c r="AY7" s="9">
        <f>IF(SUMIF('Task Durations'!$C$10:$C$34, "Travel (Internal)",'Task Durations'!AZ10:AZ34),SUMIF('Task Durations'!$C$10:$C$34, "Travel (Internal)",'Task Durations'!AZ10:AZ34))</f>
        <v>13.417599999999995</v>
      </c>
      <c r="AZ7" s="9">
        <f>IF(SUMIF('Task Durations'!$C$10:$C$34, "Travel (Internal)",'Task Durations'!BA10:BA34),SUMIF('Task Durations'!$C$10:$C$34, "Travel (Internal)",'Task Durations'!BA10:BA34))</f>
        <v>3.7336999999999989</v>
      </c>
      <c r="BA7" s="9">
        <f>IF(SUMIF('Task Durations'!$C$10:$C$34, "Travel (Internal)",'Task Durations'!BB10:BB34),SUMIF('Task Durations'!$C$10:$C$34, "Travel (Internal)",'Task Durations'!BB10:BB34))</f>
        <v>2.5830000000000002</v>
      </c>
      <c r="BB7" s="9">
        <f>IF(SUMIF('Task Durations'!$C$10:$C$34, "Travel (Internal)",'Task Durations'!BC10:BC34),SUMIF('Task Durations'!$C$10:$C$34, "Travel (Internal)",'Task Durations'!BC10:BC34))</f>
        <v>5.3345999999999982</v>
      </c>
      <c r="BC7" s="9">
        <f>IF(SUMIF('Task Durations'!$C$10:$C$34, "Travel (Internal)",'Task Durations'!BD10:BD34),SUMIF('Task Durations'!$C$10:$C$34, "Travel (Internal)",'Task Durations'!BD10:BD34))</f>
        <v>5.3510000000000044</v>
      </c>
      <c r="BD7" s="9">
        <f>IF(SUMIF('Task Durations'!$C$10:$C$34, "Travel (Internal)",'Task Durations'!BE10:BE34),SUMIF('Task Durations'!$C$10:$C$34, "Travel (Internal)",'Task Durations'!BE10:BE34))</f>
        <v>8.2014000000000031</v>
      </c>
      <c r="BE7" s="9">
        <f>IF(SUMIF('Task Durations'!$C$10:$C$34, "Travel (Internal)",'Task Durations'!BF10:BF34),SUMIF('Task Durations'!$C$10:$C$34, "Travel (Internal)",'Task Durations'!BF10:BF34))</f>
        <v>10.900000000000002</v>
      </c>
      <c r="BF7" s="9">
        <f>IF(SUMIF('Task Durations'!$C$10:$C$34, "Travel (Internal)",'Task Durations'!BG10:BG34),SUMIF('Task Durations'!$C$10:$C$34, "Travel (Internal)",'Task Durations'!BG10:BG34))</f>
        <v>24.616800000000001</v>
      </c>
      <c r="BG7" s="9">
        <f>IF(SUMIF('Task Durations'!$C$10:$C$34, "Travel (Internal)",'Task Durations'!BH10:BH34),SUMIF('Task Durations'!$C$10:$C$34, "Travel (Internal)",'Task Durations'!BH10:BH34))</f>
        <v>1.4500000000000042</v>
      </c>
      <c r="BH7" s="9">
        <f>IF(SUMIF('Task Durations'!$C$10:$C$34, "Travel (Internal)",'Task Durations'!BI10:BI34),SUMIF('Task Durations'!$C$10:$C$34, "Travel (Internal)",'Task Durations'!BI10:BI34))</f>
        <v>3.5069999999999988</v>
      </c>
      <c r="BI7" s="9">
        <f>IF(SUMIF('Task Durations'!$C$10:$C$34, "Travel (Internal)",'Task Durations'!BJ10:BJ34),SUMIF('Task Durations'!$C$10:$C$34, "Travel (Internal)",'Task Durations'!BJ10:BJ34))</f>
        <v>1.5659999999999998</v>
      </c>
      <c r="BJ7" s="9">
        <f>IF(SUMIF('Task Durations'!$C$10:$C$34, "Travel (Internal)",'Task Durations'!BK10:BK34),SUMIF('Task Durations'!$C$10:$C$34, "Travel (Internal)",'Task Durations'!BK10:BK34))</f>
        <v>3.0830000000000011</v>
      </c>
      <c r="BK7" s="9">
        <f>IF(SUMIF('Task Durations'!$C$10:$C$34, "Travel (Internal)",'Task Durations'!BL10:BL34),SUMIF('Task Durations'!$C$10:$C$34, "Travel (Internal)",'Task Durations'!BL10:BL34))</f>
        <v>7.0346999999999946</v>
      </c>
      <c r="BL7" s="9">
        <f>IF(SUMIF('Task Durations'!$C$10:$C$34, "Travel (Internal)",'Task Durations'!BM10:BM34),SUMIF('Task Durations'!$C$10:$C$34, "Travel (Internal)",'Task Durations'!BM10:BM34))</f>
        <v>6.4837000000000025</v>
      </c>
      <c r="BM7" s="9">
        <f>IF(SUMIF('Task Durations'!$C$10:$C$34, "Travel (Internal)",'Task Durations'!BN10:BN34),SUMIF('Task Durations'!$C$10:$C$34, "Travel (Internal)",'Task Durations'!BN10:BN34))</f>
        <v>1.3273000000000041</v>
      </c>
      <c r="BN7" s="9">
        <f>IF(SUMIF('Task Durations'!$C$10:$C$34, "Travel (Internal)",'Task Durations'!BO10:BO34),SUMIF('Task Durations'!$C$10:$C$34, "Travel (Internal)",'Task Durations'!BO10:BO34))</f>
        <v>3.0506999999999973</v>
      </c>
      <c r="BO7" s="9">
        <f>IF(SUMIF('Task Durations'!$C$10:$C$34, "Travel (Internal)",'Task Durations'!BP10:BP34),SUMIF('Task Durations'!$C$10:$C$34, "Travel (Internal)",'Task Durations'!BP10:BP34))</f>
        <v>13.885000000000007</v>
      </c>
      <c r="BP7" s="9">
        <f>IF(SUMIF('Task Durations'!$C$10:$C$34, "Travel (Internal)",'Task Durations'!BQ10:BQ34),SUMIF('Task Durations'!$C$10:$C$34, "Travel (Internal)",'Task Durations'!BQ10:BQ34))</f>
        <v>9.9999999999999982</v>
      </c>
      <c r="BQ7" s="9">
        <f>IF(SUMIF('Task Durations'!$C$10:$C$34, "Travel (Internal)",'Task Durations'!BR10:BR34),SUMIF('Task Durations'!$C$10:$C$34, "Travel (Internal)",'Task Durations'!BR10:BR34))</f>
        <v>2.0832999999999977</v>
      </c>
      <c r="BR7" s="9">
        <f>IF(SUMIF('Task Durations'!$C$10:$C$34, "Travel (Internal)",'Task Durations'!BS10:BS34),SUMIF('Task Durations'!$C$10:$C$34, "Travel (Internal)",'Task Durations'!BS10:BS34))</f>
        <v>1.3643000000000041</v>
      </c>
      <c r="BS7" s="9">
        <f>IF(SUMIF('Task Durations'!$C$10:$C$34, "Travel (Internal)",'Task Durations'!BT10:BT34),SUMIF('Task Durations'!$C$10:$C$34, "Travel (Internal)",'Task Durations'!BT10:BT34))</f>
        <v>3.25</v>
      </c>
      <c r="BT7" s="9">
        <f>IF(SUMIF('Task Durations'!$C$10:$C$34, "Travel (Internal)",'Task Durations'!BU10:BU34),SUMIF('Task Durations'!$C$10:$C$34, "Travel (Internal)",'Task Durations'!BU10:BU34))</f>
        <v>14.733699999999997</v>
      </c>
      <c r="BU7" s="9">
        <f>IF(SUMIF('Task Durations'!$C$10:$C$34, "Travel (Internal)",'Task Durations'!BV10:BV34),SUMIF('Task Durations'!$C$10:$C$34, "Travel (Internal)",'Task Durations'!BV10:BV34))</f>
        <v>2.3499999999999965</v>
      </c>
      <c r="BV7" s="9">
        <f>IF(SUMIF('Task Durations'!$C$10:$C$34, "Travel (Internal)",'Task Durations'!BW10:BW34),SUMIF('Task Durations'!$C$10:$C$34, "Travel (Internal)",'Task Durations'!BW10:BW34))</f>
        <v>12.200000000000005</v>
      </c>
      <c r="BW7" s="9">
        <f>IF(SUMIF('Task Durations'!$C$10:$C$34, "Travel (Internal)",'Task Durations'!BX10:BX34),SUMIF('Task Durations'!$C$10:$C$34, "Travel (Internal)",'Task Durations'!BX10:BX34))</f>
        <v>2.867</v>
      </c>
      <c r="BX7" s="9">
        <f>IF(SUMIF('Task Durations'!$C$10:$C$34, "Travel (Internal)",'Task Durations'!BY10:BY34),SUMIF('Task Durations'!$C$10:$C$34, "Travel (Internal)",'Task Durations'!BY10:BY34))</f>
        <v>1.0666999999999995</v>
      </c>
      <c r="BY7" s="9">
        <f>IF(SUMIF('Task Durations'!$C$10:$C$34, "Travel (Internal)",'Task Durations'!BZ10:BZ34),SUMIF('Task Durations'!$C$10:$C$34, "Travel (Internal)",'Task Durations'!BZ10:BZ34))</f>
        <v>8.7832999999999988</v>
      </c>
      <c r="BZ7" s="9">
        <f>IF(SUMIF('Task Durations'!$C$10:$C$34, "Travel (Internal)",'Task Durations'!CA10:CA34),SUMIF('Task Durations'!$C$10:$C$34, "Travel (Internal)",'Task Durations'!CA10:CA34))</f>
        <v>2.6663000000000006</v>
      </c>
      <c r="CA7" s="9">
        <f>IF(SUMIF('Task Durations'!$C$10:$C$34, "Travel (Internal)",'Task Durations'!CB10:CB34),SUMIF('Task Durations'!$C$10:$C$34, "Travel (Internal)",'Task Durations'!CB10:CB34))</f>
        <v>3.9159999999999968</v>
      </c>
      <c r="CB7" s="9">
        <f>IF(SUMIF('Task Durations'!$C$10:$C$34, "Travel (Internal)",'Task Durations'!CC10:CC34),SUMIF('Task Durations'!$C$10:$C$34, "Travel (Internal)",'Task Durations'!CC10:CC34))</f>
        <v>13.766000000000002</v>
      </c>
      <c r="CC7" s="9">
        <f>IF(SUMIF('Task Durations'!$C$10:$C$34, "Travel (Internal)",'Task Durations'!CD10:CD34),SUMIF('Task Durations'!$C$10:$C$34, "Travel (Internal)",'Task Durations'!CD10:CD34))</f>
        <v>7.4977000000000018</v>
      </c>
      <c r="CD7" s="9">
        <f>IF(SUMIF('Task Durations'!$C$10:$C$34, "Travel (Internal)",'Task Durations'!CE10:CE34),SUMIF('Task Durations'!$C$10:$C$34, "Travel (Internal)",'Task Durations'!CE10:CE34))</f>
        <v>10.832999999999998</v>
      </c>
      <c r="CE7" s="9">
        <f>IF(SUMIF('Task Durations'!$C$10:$C$34, "Travel (Internal)",'Task Durations'!CF10:CF34),SUMIF('Task Durations'!$C$10:$C$34, "Travel (Internal)",'Task Durations'!CF10:CF34))</f>
        <v>1.6170000000000011</v>
      </c>
      <c r="CF7" s="9">
        <f>IF(SUMIF('Task Durations'!$C$10:$C$34, "Travel (Internal)",'Task Durations'!CG10:CG34),SUMIF('Task Durations'!$C$10:$C$34, "Travel (Internal)",'Task Durations'!CG10:CG34))</f>
        <v>9.016</v>
      </c>
      <c r="CG7" s="9">
        <f>IF(SUMIF('Task Durations'!$C$10:$C$34, "Travel (Internal)",'Task Durations'!CH10:CH34),SUMIF('Task Durations'!$C$10:$C$34, "Travel (Internal)",'Task Durations'!CH10:CH34))</f>
        <v>9.3339999999999996</v>
      </c>
      <c r="CH7" s="9">
        <f>IF(SUMIF('Task Durations'!$C$10:$C$34, "Travel (Internal)",'Task Durations'!CI10:CI34),SUMIF('Task Durations'!$C$10:$C$34, "Travel (Internal)",'Task Durations'!CI10:CI34))</f>
        <v>7.5</v>
      </c>
      <c r="CI7" s="9">
        <f>IF(SUMIF('Task Durations'!$C$10:$C$34, "Travel (Internal)",'Task Durations'!CJ10:CJ34),SUMIF('Task Durations'!$C$10:$C$34, "Travel (Internal)",'Task Durations'!CJ10:CJ34))</f>
        <v>3.3499999999999996</v>
      </c>
      <c r="CJ7" s="9">
        <f>IF(SUMIF('Task Durations'!$C$10:$C$34, "Travel (Internal)",'Task Durations'!CK10:CK34),SUMIF('Task Durations'!$C$10:$C$34, "Travel (Internal)",'Task Durations'!CK10:CK34))</f>
        <v>4.4830000000000005</v>
      </c>
      <c r="CK7" s="9">
        <f>IF(SUMIF('Task Durations'!$C$10:$C$34, "Travel (Internal)",'Task Durations'!CL10:CL34),SUMIF('Task Durations'!$C$10:$C$34, "Travel (Internal)",'Task Durations'!CL10:CL34))</f>
        <v>4.4935000000000018</v>
      </c>
      <c r="CL7" s="9">
        <f>IF(SUMIF('Task Durations'!$C$10:$C$34, "Travel (Internal)",'Task Durations'!CM10:CM34),SUMIF('Task Durations'!$C$10:$C$34, "Travel (Internal)",'Task Durations'!CM10:CM34))</f>
        <v>4.9340000000000019</v>
      </c>
      <c r="CM7" s="9"/>
      <c r="CN7" s="9"/>
    </row>
    <row r="8" spans="1:92" x14ac:dyDescent="0.25">
      <c r="A8" s="345"/>
      <c r="B8" s="1" t="s">
        <v>221</v>
      </c>
      <c r="C8" s="9" t="e">
        <f>IF(C$3="Small",C$5,NA())</f>
        <v>#N/A</v>
      </c>
      <c r="D8" s="9" t="e">
        <f t="shared" ref="D8:BO8" si="0">IF(D$3="Small",D$5,NA())</f>
        <v>#N/A</v>
      </c>
      <c r="E8" s="9" t="e">
        <f t="shared" si="0"/>
        <v>#N/A</v>
      </c>
      <c r="F8" s="9" t="e">
        <f t="shared" si="0"/>
        <v>#N/A</v>
      </c>
      <c r="G8" s="9">
        <f t="shared" si="0"/>
        <v>25.465999999999998</v>
      </c>
      <c r="H8" s="9" t="e">
        <f t="shared" si="0"/>
        <v>#N/A</v>
      </c>
      <c r="I8" s="9">
        <f t="shared" si="0"/>
        <v>57.766666666666666</v>
      </c>
      <c r="J8" s="9" t="e">
        <f t="shared" si="0"/>
        <v>#N/A</v>
      </c>
      <c r="K8" s="9">
        <f t="shared" si="0"/>
        <v>29.419</v>
      </c>
      <c r="L8" s="9" t="e">
        <f t="shared" si="0"/>
        <v>#N/A</v>
      </c>
      <c r="M8" s="9">
        <f t="shared" si="0"/>
        <v>36.5837</v>
      </c>
      <c r="N8" s="9" t="e">
        <f t="shared" si="0"/>
        <v>#N/A</v>
      </c>
      <c r="O8" s="9" t="e">
        <f t="shared" si="0"/>
        <v>#N/A</v>
      </c>
      <c r="P8" s="9" t="e">
        <f t="shared" si="0"/>
        <v>#N/A</v>
      </c>
      <c r="Q8" s="9" t="e">
        <f t="shared" si="0"/>
        <v>#N/A</v>
      </c>
      <c r="R8" s="9">
        <f t="shared" si="0"/>
        <v>19.420999999999999</v>
      </c>
      <c r="S8" s="9" t="e">
        <f t="shared" si="0"/>
        <v>#N/A</v>
      </c>
      <c r="T8" s="9">
        <f t="shared" si="0"/>
        <v>40.149700000000003</v>
      </c>
      <c r="U8" s="9" t="e">
        <f t="shared" si="0"/>
        <v>#N/A</v>
      </c>
      <c r="V8" s="9" t="e">
        <f t="shared" si="0"/>
        <v>#N/A</v>
      </c>
      <c r="W8" s="9" t="e">
        <f t="shared" si="0"/>
        <v>#N/A</v>
      </c>
      <c r="X8" s="9" t="e">
        <f t="shared" si="0"/>
        <v>#N/A</v>
      </c>
      <c r="Y8" s="9" t="e">
        <f t="shared" si="0"/>
        <v>#N/A</v>
      </c>
      <c r="Z8" s="9">
        <f t="shared" si="0"/>
        <v>15.433</v>
      </c>
      <c r="AA8" s="9" t="e">
        <f t="shared" si="0"/>
        <v>#N/A</v>
      </c>
      <c r="AB8" s="9">
        <f t="shared" si="0"/>
        <v>27.739000000000001</v>
      </c>
      <c r="AC8" s="9">
        <f t="shared" si="0"/>
        <v>23.023300000000003</v>
      </c>
      <c r="AD8" s="9" t="e">
        <f t="shared" si="0"/>
        <v>#N/A</v>
      </c>
      <c r="AE8" s="9" t="e">
        <f t="shared" si="0"/>
        <v>#N/A</v>
      </c>
      <c r="AF8" s="9" t="e">
        <f t="shared" si="0"/>
        <v>#N/A</v>
      </c>
      <c r="AG8" s="9">
        <f t="shared" si="0"/>
        <v>29.700000000000003</v>
      </c>
      <c r="AH8" s="9">
        <f t="shared" si="0"/>
        <v>43.500700000000002</v>
      </c>
      <c r="AI8" s="9" t="e">
        <f t="shared" si="0"/>
        <v>#N/A</v>
      </c>
      <c r="AJ8" s="9" t="e">
        <f t="shared" si="0"/>
        <v>#N/A</v>
      </c>
      <c r="AK8" s="9" t="e">
        <f t="shared" si="0"/>
        <v>#N/A</v>
      </c>
      <c r="AL8" s="9" t="e">
        <f t="shared" si="0"/>
        <v>#N/A</v>
      </c>
      <c r="AM8" s="9">
        <f t="shared" si="0"/>
        <v>39.349999999999994</v>
      </c>
      <c r="AN8" s="9">
        <f t="shared" si="0"/>
        <v>40.414999999999999</v>
      </c>
      <c r="AO8" s="9" t="e">
        <f t="shared" si="0"/>
        <v>#N/A</v>
      </c>
      <c r="AP8" s="9" t="e">
        <f t="shared" si="0"/>
        <v>#N/A</v>
      </c>
      <c r="AQ8" s="9" t="e">
        <f t="shared" si="0"/>
        <v>#N/A</v>
      </c>
      <c r="AR8" s="9" t="e">
        <f t="shared" si="0"/>
        <v>#N/A</v>
      </c>
      <c r="AS8" s="9" t="e">
        <f t="shared" si="0"/>
        <v>#N/A</v>
      </c>
      <c r="AT8" s="9" t="e">
        <f t="shared" si="0"/>
        <v>#N/A</v>
      </c>
      <c r="AU8" s="9">
        <f t="shared" si="0"/>
        <v>20.515999999999998</v>
      </c>
      <c r="AV8" s="9" t="e">
        <f t="shared" si="0"/>
        <v>#N/A</v>
      </c>
      <c r="AW8" s="9" t="e">
        <f t="shared" si="0"/>
        <v>#N/A</v>
      </c>
      <c r="AX8" s="9" t="e">
        <f t="shared" si="0"/>
        <v>#N/A</v>
      </c>
      <c r="AY8" s="9" t="e">
        <f t="shared" si="0"/>
        <v>#N/A</v>
      </c>
      <c r="AZ8" s="9" t="e">
        <f t="shared" si="0"/>
        <v>#N/A</v>
      </c>
      <c r="BA8" s="9" t="e">
        <f t="shared" si="0"/>
        <v>#N/A</v>
      </c>
      <c r="BB8" s="9" t="e">
        <f t="shared" si="0"/>
        <v>#N/A</v>
      </c>
      <c r="BC8" s="9" t="e">
        <f t="shared" si="0"/>
        <v>#N/A</v>
      </c>
      <c r="BD8" s="9" t="e">
        <f t="shared" si="0"/>
        <v>#N/A</v>
      </c>
      <c r="BE8" s="9" t="e">
        <f t="shared" si="0"/>
        <v>#N/A</v>
      </c>
      <c r="BF8" s="9">
        <f t="shared" si="0"/>
        <v>34.645199999999996</v>
      </c>
      <c r="BG8" s="9" t="e">
        <f t="shared" si="0"/>
        <v>#N/A</v>
      </c>
      <c r="BH8" s="9" t="e">
        <f t="shared" si="0"/>
        <v>#N/A</v>
      </c>
      <c r="BI8" s="9">
        <f t="shared" si="0"/>
        <v>25.966999999999999</v>
      </c>
      <c r="BJ8" s="9">
        <f t="shared" si="0"/>
        <v>13.1</v>
      </c>
      <c r="BK8" s="9" t="e">
        <f t="shared" si="0"/>
        <v>#N/A</v>
      </c>
      <c r="BL8" s="9" t="e">
        <f t="shared" si="0"/>
        <v>#N/A</v>
      </c>
      <c r="BM8" s="9">
        <f t="shared" si="0"/>
        <v>31.0717</v>
      </c>
      <c r="BN8" s="9" t="e">
        <f t="shared" si="0"/>
        <v>#N/A</v>
      </c>
      <c r="BO8" s="9" t="e">
        <f t="shared" si="0"/>
        <v>#N/A</v>
      </c>
      <c r="BP8" s="9" t="e">
        <f t="shared" ref="BP8:CK8" si="1">IF(BP$3="Small",BP$5,NA())</f>
        <v>#N/A</v>
      </c>
      <c r="BQ8" s="9">
        <f t="shared" si="1"/>
        <v>33.483700000000006</v>
      </c>
      <c r="BR8" s="9" t="e">
        <f t="shared" si="1"/>
        <v>#N/A</v>
      </c>
      <c r="BS8" s="9" t="e">
        <f t="shared" si="1"/>
        <v>#N/A</v>
      </c>
      <c r="BT8" s="9" t="e">
        <f t="shared" si="1"/>
        <v>#N/A</v>
      </c>
      <c r="BU8" s="9" t="e">
        <f t="shared" si="1"/>
        <v>#N/A</v>
      </c>
      <c r="BV8" s="9" t="e">
        <f t="shared" si="1"/>
        <v>#N/A</v>
      </c>
      <c r="BW8" s="9" t="e">
        <f t="shared" si="1"/>
        <v>#N/A</v>
      </c>
      <c r="BX8" s="9" t="e">
        <f t="shared" si="1"/>
        <v>#N/A</v>
      </c>
      <c r="BY8" s="9" t="e">
        <f t="shared" si="1"/>
        <v>#N/A</v>
      </c>
      <c r="BZ8" s="9">
        <f t="shared" si="1"/>
        <v>6.2006999999999994</v>
      </c>
      <c r="CA8" s="9">
        <f t="shared" si="1"/>
        <v>48.466999999999999</v>
      </c>
      <c r="CB8" s="9" t="e">
        <f t="shared" si="1"/>
        <v>#N/A</v>
      </c>
      <c r="CC8" s="9" t="e">
        <f t="shared" si="1"/>
        <v>#N/A</v>
      </c>
      <c r="CD8" s="9" t="e">
        <f t="shared" si="1"/>
        <v>#N/A</v>
      </c>
      <c r="CE8" s="9">
        <f t="shared" si="1"/>
        <v>18.533000000000001</v>
      </c>
      <c r="CF8" s="9" t="e">
        <f t="shared" si="1"/>
        <v>#N/A</v>
      </c>
      <c r="CG8" s="9" t="e">
        <f t="shared" si="1"/>
        <v>#N/A</v>
      </c>
      <c r="CH8" s="9" t="e">
        <f t="shared" si="1"/>
        <v>#N/A</v>
      </c>
      <c r="CI8" s="9">
        <f t="shared" si="1"/>
        <v>30.383000000000003</v>
      </c>
      <c r="CJ8" s="9">
        <f t="shared" si="1"/>
        <v>52.516999999999996</v>
      </c>
      <c r="CK8" s="9" t="e">
        <f t="shared" si="1"/>
        <v>#N/A</v>
      </c>
      <c r="CL8" s="9" t="e">
        <f>IF(CL$3="Small",CL$5,NA())</f>
        <v>#N/A</v>
      </c>
      <c r="CM8" s="9"/>
      <c r="CN8" s="9"/>
    </row>
    <row r="9" spans="1:92" x14ac:dyDescent="0.25">
      <c r="A9" s="345"/>
      <c r="B9" s="1" t="s">
        <v>223</v>
      </c>
      <c r="C9" s="9" t="e">
        <f>IF(C$3="Medium",C$5,NA())</f>
        <v>#N/A</v>
      </c>
      <c r="D9" s="9" t="e">
        <f t="shared" ref="D9:BO9" si="2">IF(D$3="Medium",D$5,NA())</f>
        <v>#N/A</v>
      </c>
      <c r="E9" s="9">
        <f t="shared" si="2"/>
        <v>32.733333333333334</v>
      </c>
      <c r="F9" s="9" t="e">
        <f t="shared" si="2"/>
        <v>#N/A</v>
      </c>
      <c r="G9" s="9" t="e">
        <f t="shared" si="2"/>
        <v>#N/A</v>
      </c>
      <c r="H9" s="9" t="e">
        <f t="shared" si="2"/>
        <v>#N/A</v>
      </c>
      <c r="I9" s="9" t="e">
        <f t="shared" si="2"/>
        <v>#N/A</v>
      </c>
      <c r="J9" s="9">
        <f t="shared" si="2"/>
        <v>44.332999999999998</v>
      </c>
      <c r="K9" s="9" t="e">
        <f t="shared" si="2"/>
        <v>#N/A</v>
      </c>
      <c r="L9" s="9">
        <f t="shared" si="2"/>
        <v>41.783000000000001</v>
      </c>
      <c r="M9" s="9" t="e">
        <f t="shared" si="2"/>
        <v>#N/A</v>
      </c>
      <c r="N9" s="9">
        <f t="shared" si="2"/>
        <v>24.417000000000002</v>
      </c>
      <c r="O9" s="9" t="e">
        <f t="shared" si="2"/>
        <v>#N/A</v>
      </c>
      <c r="P9" s="9" t="e">
        <f t="shared" si="2"/>
        <v>#N/A</v>
      </c>
      <c r="Q9" s="9">
        <f t="shared" si="2"/>
        <v>15.75</v>
      </c>
      <c r="R9" s="9" t="e">
        <f t="shared" si="2"/>
        <v>#N/A</v>
      </c>
      <c r="S9" s="9">
        <f t="shared" si="2"/>
        <v>35.667000000000002</v>
      </c>
      <c r="T9" s="9" t="e">
        <f t="shared" si="2"/>
        <v>#N/A</v>
      </c>
      <c r="U9" s="9">
        <f t="shared" si="2"/>
        <v>62.499000000000009</v>
      </c>
      <c r="V9" s="9">
        <f t="shared" si="2"/>
        <v>31.766300000000001</v>
      </c>
      <c r="W9" s="9">
        <f t="shared" si="2"/>
        <v>32.850300000000004</v>
      </c>
      <c r="X9" s="9" t="e">
        <f t="shared" si="2"/>
        <v>#N/A</v>
      </c>
      <c r="Y9" s="9" t="e">
        <f t="shared" si="2"/>
        <v>#N/A</v>
      </c>
      <c r="Z9" s="9" t="e">
        <f t="shared" si="2"/>
        <v>#N/A</v>
      </c>
      <c r="AA9" s="9">
        <f t="shared" si="2"/>
        <v>53.549700000000001</v>
      </c>
      <c r="AB9" s="9" t="e">
        <f t="shared" si="2"/>
        <v>#N/A</v>
      </c>
      <c r="AC9" s="9" t="e">
        <f t="shared" si="2"/>
        <v>#N/A</v>
      </c>
      <c r="AD9" s="9" t="e">
        <f t="shared" si="2"/>
        <v>#N/A</v>
      </c>
      <c r="AE9" s="9" t="e">
        <f t="shared" si="2"/>
        <v>#N/A</v>
      </c>
      <c r="AF9" s="9" t="e">
        <f t="shared" si="2"/>
        <v>#N/A</v>
      </c>
      <c r="AG9" s="9" t="e">
        <f t="shared" si="2"/>
        <v>#N/A</v>
      </c>
      <c r="AH9" s="9" t="e">
        <f t="shared" si="2"/>
        <v>#N/A</v>
      </c>
      <c r="AI9" s="9" t="e">
        <f t="shared" si="2"/>
        <v>#N/A</v>
      </c>
      <c r="AJ9" s="9" t="e">
        <f t="shared" si="2"/>
        <v>#N/A</v>
      </c>
      <c r="AK9" s="9">
        <f t="shared" si="2"/>
        <v>52.750999999999998</v>
      </c>
      <c r="AL9" s="9" t="e">
        <f t="shared" si="2"/>
        <v>#N/A</v>
      </c>
      <c r="AM9" s="9" t="e">
        <f t="shared" si="2"/>
        <v>#N/A</v>
      </c>
      <c r="AN9" s="9" t="e">
        <f t="shared" si="2"/>
        <v>#N/A</v>
      </c>
      <c r="AO9" s="9">
        <f t="shared" si="2"/>
        <v>33.766000000000005</v>
      </c>
      <c r="AP9" s="9">
        <f t="shared" si="2"/>
        <v>22.016399999999997</v>
      </c>
      <c r="AQ9" s="9" t="e">
        <f t="shared" si="2"/>
        <v>#N/A</v>
      </c>
      <c r="AR9" s="9">
        <f t="shared" si="2"/>
        <v>59.820500000000003</v>
      </c>
      <c r="AS9" s="9" t="e">
        <f t="shared" si="2"/>
        <v>#N/A</v>
      </c>
      <c r="AT9" s="9" t="e">
        <f t="shared" si="2"/>
        <v>#N/A</v>
      </c>
      <c r="AU9" s="9" t="e">
        <f t="shared" si="2"/>
        <v>#N/A</v>
      </c>
      <c r="AV9" s="9">
        <f t="shared" si="2"/>
        <v>51.100299999999997</v>
      </c>
      <c r="AW9" s="9" t="e">
        <f t="shared" si="2"/>
        <v>#N/A</v>
      </c>
      <c r="AX9" s="9">
        <f t="shared" si="2"/>
        <v>26.166</v>
      </c>
      <c r="AY9" s="9" t="e">
        <f t="shared" si="2"/>
        <v>#N/A</v>
      </c>
      <c r="AZ9" s="9" t="e">
        <f t="shared" si="2"/>
        <v>#N/A</v>
      </c>
      <c r="BA9" s="9" t="e">
        <f t="shared" si="2"/>
        <v>#N/A</v>
      </c>
      <c r="BB9" s="9" t="e">
        <f t="shared" si="2"/>
        <v>#N/A</v>
      </c>
      <c r="BC9" s="9" t="e">
        <f t="shared" si="2"/>
        <v>#N/A</v>
      </c>
      <c r="BD9" s="9" t="e">
        <f t="shared" si="2"/>
        <v>#N/A</v>
      </c>
      <c r="BE9" s="9" t="e">
        <f t="shared" si="2"/>
        <v>#N/A</v>
      </c>
      <c r="BF9" s="9" t="e">
        <f t="shared" si="2"/>
        <v>#N/A</v>
      </c>
      <c r="BG9" s="9">
        <f t="shared" si="2"/>
        <v>36.266299999999994</v>
      </c>
      <c r="BH9" s="9">
        <f t="shared" si="2"/>
        <v>19.541999999999998</v>
      </c>
      <c r="BI9" s="9" t="e">
        <f t="shared" si="2"/>
        <v>#N/A</v>
      </c>
      <c r="BJ9" s="9" t="e">
        <f t="shared" si="2"/>
        <v>#N/A</v>
      </c>
      <c r="BK9" s="9" t="e">
        <f t="shared" si="2"/>
        <v>#N/A</v>
      </c>
      <c r="BL9" s="9">
        <f t="shared" si="2"/>
        <v>19.549299999999999</v>
      </c>
      <c r="BM9" s="9" t="e">
        <f t="shared" si="2"/>
        <v>#N/A</v>
      </c>
      <c r="BN9" s="9">
        <f t="shared" si="2"/>
        <v>28.6493</v>
      </c>
      <c r="BO9" s="9" t="e">
        <f t="shared" si="2"/>
        <v>#N/A</v>
      </c>
      <c r="BP9" s="9" t="e">
        <f t="shared" ref="BP9:CK9" si="3">IF(BP$3="Medium",BP$5,NA())</f>
        <v>#N/A</v>
      </c>
      <c r="BQ9" s="9" t="e">
        <f t="shared" si="3"/>
        <v>#N/A</v>
      </c>
      <c r="BR9" s="9">
        <f t="shared" si="3"/>
        <v>46.535999999999994</v>
      </c>
      <c r="BS9" s="9" t="e">
        <f t="shared" si="3"/>
        <v>#N/A</v>
      </c>
      <c r="BT9" s="9" t="e">
        <f t="shared" si="3"/>
        <v>#N/A</v>
      </c>
      <c r="BU9" s="9">
        <f t="shared" si="3"/>
        <v>45.216999999999999</v>
      </c>
      <c r="BV9" s="9">
        <f t="shared" si="3"/>
        <v>46.216999999999992</v>
      </c>
      <c r="BW9" s="9">
        <f t="shared" si="3"/>
        <v>15.716700000000001</v>
      </c>
      <c r="BX9" s="9">
        <f t="shared" si="3"/>
        <v>8.3333000000000013</v>
      </c>
      <c r="BY9" s="9" t="e">
        <f t="shared" si="3"/>
        <v>#N/A</v>
      </c>
      <c r="BZ9" s="9" t="e">
        <f t="shared" si="3"/>
        <v>#N/A</v>
      </c>
      <c r="CA9" s="9" t="e">
        <f t="shared" si="3"/>
        <v>#N/A</v>
      </c>
      <c r="CB9" s="9">
        <f t="shared" si="3"/>
        <v>39.884000000000007</v>
      </c>
      <c r="CC9" s="9" t="e">
        <f t="shared" si="3"/>
        <v>#N/A</v>
      </c>
      <c r="CD9" s="9" t="e">
        <f t="shared" si="3"/>
        <v>#N/A</v>
      </c>
      <c r="CE9" s="9" t="e">
        <f t="shared" si="3"/>
        <v>#N/A</v>
      </c>
      <c r="CF9" s="9" t="e">
        <f t="shared" si="3"/>
        <v>#N/A</v>
      </c>
      <c r="CG9" s="9">
        <f t="shared" si="3"/>
        <v>27.3</v>
      </c>
      <c r="CH9" s="9" t="e">
        <f t="shared" si="3"/>
        <v>#N/A</v>
      </c>
      <c r="CI9" s="9" t="e">
        <f t="shared" si="3"/>
        <v>#N/A</v>
      </c>
      <c r="CJ9" s="9" t="e">
        <f t="shared" si="3"/>
        <v>#N/A</v>
      </c>
      <c r="CK9" s="9">
        <f t="shared" si="3"/>
        <v>67.398499999999999</v>
      </c>
      <c r="CL9" s="9">
        <f>IF(CL$3="Medium",CL$5,NA())</f>
        <v>33.482999999999997</v>
      </c>
      <c r="CM9" s="9"/>
      <c r="CN9" s="9"/>
    </row>
    <row r="10" spans="1:92" x14ac:dyDescent="0.25">
      <c r="A10" s="345"/>
      <c r="B10" s="1" t="s">
        <v>225</v>
      </c>
      <c r="C10" s="9">
        <f>IF(C$3="Large",C$5,NA())</f>
        <v>40.016666666666666</v>
      </c>
      <c r="D10" s="9">
        <f t="shared" ref="D10:BO10" si="4">IF(D$3="Large",D$5,NA())</f>
        <v>38.899000000000008</v>
      </c>
      <c r="E10" s="9" t="e">
        <f t="shared" si="4"/>
        <v>#N/A</v>
      </c>
      <c r="F10" s="9">
        <f t="shared" si="4"/>
        <v>26.717999999999993</v>
      </c>
      <c r="G10" s="9" t="e">
        <f t="shared" si="4"/>
        <v>#N/A</v>
      </c>
      <c r="H10" s="9">
        <f t="shared" si="4"/>
        <v>24.65</v>
      </c>
      <c r="I10" s="9" t="e">
        <f t="shared" si="4"/>
        <v>#N/A</v>
      </c>
      <c r="J10" s="9" t="e">
        <f t="shared" si="4"/>
        <v>#N/A</v>
      </c>
      <c r="K10" s="9" t="e">
        <f t="shared" si="4"/>
        <v>#N/A</v>
      </c>
      <c r="L10" s="9" t="e">
        <f t="shared" si="4"/>
        <v>#N/A</v>
      </c>
      <c r="M10" s="9" t="e">
        <f t="shared" si="4"/>
        <v>#N/A</v>
      </c>
      <c r="N10" s="9" t="e">
        <f t="shared" si="4"/>
        <v>#N/A</v>
      </c>
      <c r="O10" s="9">
        <f t="shared" si="4"/>
        <v>42.265999999999998</v>
      </c>
      <c r="P10" s="9">
        <f t="shared" si="4"/>
        <v>48.048999999999992</v>
      </c>
      <c r="Q10" s="9" t="e">
        <f t="shared" si="4"/>
        <v>#N/A</v>
      </c>
      <c r="R10" s="9" t="e">
        <f t="shared" si="4"/>
        <v>#N/A</v>
      </c>
      <c r="S10" s="9" t="e">
        <f t="shared" si="4"/>
        <v>#N/A</v>
      </c>
      <c r="T10" s="9" t="e">
        <f t="shared" si="4"/>
        <v>#N/A</v>
      </c>
      <c r="U10" s="9" t="e">
        <f t="shared" si="4"/>
        <v>#N/A</v>
      </c>
      <c r="V10" s="9" t="e">
        <f t="shared" si="4"/>
        <v>#N/A</v>
      </c>
      <c r="W10" s="9" t="e">
        <f t="shared" si="4"/>
        <v>#N/A</v>
      </c>
      <c r="X10" s="9">
        <f t="shared" si="4"/>
        <v>51.498699999999999</v>
      </c>
      <c r="Y10" s="9">
        <f t="shared" si="4"/>
        <v>27.980000000000004</v>
      </c>
      <c r="Z10" s="9" t="e">
        <f t="shared" si="4"/>
        <v>#N/A</v>
      </c>
      <c r="AA10" s="9" t="e">
        <f t="shared" si="4"/>
        <v>#N/A</v>
      </c>
      <c r="AB10" s="9" t="e">
        <f t="shared" si="4"/>
        <v>#N/A</v>
      </c>
      <c r="AC10" s="9" t="e">
        <f t="shared" si="4"/>
        <v>#N/A</v>
      </c>
      <c r="AD10" s="9">
        <f t="shared" si="4"/>
        <v>43.187000000000005</v>
      </c>
      <c r="AE10" s="9">
        <f t="shared" si="4"/>
        <v>41.3504</v>
      </c>
      <c r="AF10" s="9">
        <f t="shared" si="4"/>
        <v>28.849000000000004</v>
      </c>
      <c r="AG10" s="9" t="e">
        <f t="shared" si="4"/>
        <v>#N/A</v>
      </c>
      <c r="AH10" s="9" t="e">
        <f t="shared" si="4"/>
        <v>#N/A</v>
      </c>
      <c r="AI10" s="9">
        <f t="shared" si="4"/>
        <v>41.670999999999999</v>
      </c>
      <c r="AJ10" s="9">
        <f t="shared" si="4"/>
        <v>35.482999999999997</v>
      </c>
      <c r="AK10" s="9" t="e">
        <f t="shared" si="4"/>
        <v>#N/A</v>
      </c>
      <c r="AL10" s="9">
        <f t="shared" si="4"/>
        <v>36.750000000000007</v>
      </c>
      <c r="AM10" s="9" t="e">
        <f t="shared" si="4"/>
        <v>#N/A</v>
      </c>
      <c r="AN10" s="9" t="e">
        <f t="shared" si="4"/>
        <v>#N/A</v>
      </c>
      <c r="AO10" s="9" t="e">
        <f t="shared" si="4"/>
        <v>#N/A</v>
      </c>
      <c r="AP10" s="9" t="e">
        <f t="shared" si="4"/>
        <v>#N/A</v>
      </c>
      <c r="AQ10" s="9">
        <f t="shared" si="4"/>
        <v>30.051000000000002</v>
      </c>
      <c r="AR10" s="9" t="e">
        <f t="shared" si="4"/>
        <v>#N/A</v>
      </c>
      <c r="AS10" s="9">
        <f t="shared" si="4"/>
        <v>38.116999999999997</v>
      </c>
      <c r="AT10" s="9">
        <f t="shared" si="4"/>
        <v>32.9</v>
      </c>
      <c r="AU10" s="9" t="e">
        <f t="shared" si="4"/>
        <v>#N/A</v>
      </c>
      <c r="AV10" s="9" t="e">
        <f t="shared" si="4"/>
        <v>#N/A</v>
      </c>
      <c r="AW10" s="9">
        <f t="shared" si="4"/>
        <v>61.084000000000003</v>
      </c>
      <c r="AX10" s="9" t="e">
        <f t="shared" si="4"/>
        <v>#N/A</v>
      </c>
      <c r="AY10" s="9">
        <f t="shared" si="4"/>
        <v>46.199700000000007</v>
      </c>
      <c r="AZ10" s="9">
        <f t="shared" si="4"/>
        <v>57.5336</v>
      </c>
      <c r="BA10" s="9" t="e">
        <f t="shared" si="4"/>
        <v>#N/A</v>
      </c>
      <c r="BB10" s="9">
        <f t="shared" si="4"/>
        <v>42.416000000000004</v>
      </c>
      <c r="BC10" s="9">
        <f t="shared" si="4"/>
        <v>41.515999999999998</v>
      </c>
      <c r="BD10" s="9">
        <f t="shared" si="4"/>
        <v>29.432299999999998</v>
      </c>
      <c r="BE10" s="9">
        <f t="shared" si="4"/>
        <v>29.467000000000002</v>
      </c>
      <c r="BF10" s="9" t="e">
        <f t="shared" si="4"/>
        <v>#N/A</v>
      </c>
      <c r="BG10" s="9" t="e">
        <f t="shared" si="4"/>
        <v>#N/A</v>
      </c>
      <c r="BH10" s="9" t="e">
        <f t="shared" si="4"/>
        <v>#N/A</v>
      </c>
      <c r="BI10" s="9" t="e">
        <f t="shared" si="4"/>
        <v>#N/A</v>
      </c>
      <c r="BJ10" s="9" t="e">
        <f t="shared" si="4"/>
        <v>#N/A</v>
      </c>
      <c r="BK10" s="9">
        <f t="shared" si="4"/>
        <v>37.509300000000003</v>
      </c>
      <c r="BL10" s="9" t="e">
        <f t="shared" si="4"/>
        <v>#N/A</v>
      </c>
      <c r="BM10" s="9" t="e">
        <f t="shared" si="4"/>
        <v>#N/A</v>
      </c>
      <c r="BN10" s="9" t="e">
        <f t="shared" si="4"/>
        <v>#N/A</v>
      </c>
      <c r="BO10" s="9">
        <f t="shared" si="4"/>
        <v>60.104999999999997</v>
      </c>
      <c r="BP10" s="9">
        <f t="shared" ref="BP10:CK10" si="5">IF(BP$3="Large",BP$5,NA())</f>
        <v>21.351000000000003</v>
      </c>
      <c r="BQ10" s="9" t="e">
        <f t="shared" si="5"/>
        <v>#N/A</v>
      </c>
      <c r="BR10" s="9" t="e">
        <f t="shared" si="5"/>
        <v>#N/A</v>
      </c>
      <c r="BS10" s="9" t="e">
        <f t="shared" si="5"/>
        <v>#N/A</v>
      </c>
      <c r="BT10" s="9">
        <f t="shared" si="5"/>
        <v>64.816300000000012</v>
      </c>
      <c r="BU10" s="9" t="e">
        <f t="shared" si="5"/>
        <v>#N/A</v>
      </c>
      <c r="BV10" s="9" t="e">
        <f t="shared" si="5"/>
        <v>#N/A</v>
      </c>
      <c r="BW10" s="9" t="e">
        <f t="shared" si="5"/>
        <v>#N/A</v>
      </c>
      <c r="BX10" s="9" t="e">
        <f t="shared" si="5"/>
        <v>#N/A</v>
      </c>
      <c r="BY10" s="9">
        <f t="shared" si="5"/>
        <v>32.732700000000001</v>
      </c>
      <c r="BZ10" s="9" t="e">
        <f t="shared" si="5"/>
        <v>#N/A</v>
      </c>
      <c r="CA10" s="9" t="e">
        <f t="shared" si="5"/>
        <v>#N/A</v>
      </c>
      <c r="CB10" s="9" t="e">
        <f t="shared" si="5"/>
        <v>#N/A</v>
      </c>
      <c r="CC10" s="9">
        <f t="shared" si="5"/>
        <v>39.701999999999998</v>
      </c>
      <c r="CD10" s="9">
        <f t="shared" si="5"/>
        <v>8.85</v>
      </c>
      <c r="CE10" s="9" t="e">
        <f t="shared" si="5"/>
        <v>#N/A</v>
      </c>
      <c r="CF10" s="9">
        <f t="shared" si="5"/>
        <v>48.633299999999998</v>
      </c>
      <c r="CG10" s="9" t="e">
        <f t="shared" si="5"/>
        <v>#N/A</v>
      </c>
      <c r="CH10" s="9">
        <f t="shared" si="5"/>
        <v>63</v>
      </c>
      <c r="CI10" s="9" t="e">
        <f t="shared" si="5"/>
        <v>#N/A</v>
      </c>
      <c r="CJ10" s="9" t="e">
        <f t="shared" si="5"/>
        <v>#N/A</v>
      </c>
      <c r="CK10" s="9" t="e">
        <f t="shared" si="5"/>
        <v>#N/A</v>
      </c>
      <c r="CL10" s="9" t="e">
        <f>IF(CL$3="Large",CL$5,NA())</f>
        <v>#N/A</v>
      </c>
      <c r="CM10" s="9"/>
      <c r="CN10" s="9"/>
    </row>
    <row r="11" spans="1:92" x14ac:dyDescent="0.25">
      <c r="A11" s="345"/>
      <c r="B11" s="1" t="s">
        <v>222</v>
      </c>
      <c r="C11" s="9" t="e">
        <f>IF(C$3="Small",C$6,NA())</f>
        <v>#N/A</v>
      </c>
      <c r="D11" s="9" t="e">
        <f t="shared" ref="D11:BO11" si="6">IF(D$3="Small",D$6,NA())</f>
        <v>#N/A</v>
      </c>
      <c r="E11" s="9" t="e">
        <f t="shared" si="6"/>
        <v>#N/A</v>
      </c>
      <c r="F11" s="9" t="e">
        <f t="shared" si="6"/>
        <v>#N/A</v>
      </c>
      <c r="G11" s="9">
        <f t="shared" si="6"/>
        <v>17.683</v>
      </c>
      <c r="H11" s="9" t="e">
        <f t="shared" si="6"/>
        <v>#N/A</v>
      </c>
      <c r="I11" s="9">
        <f t="shared" si="6"/>
        <v>17.95</v>
      </c>
      <c r="J11" s="9" t="e">
        <f t="shared" si="6"/>
        <v>#N/A</v>
      </c>
      <c r="K11" s="9">
        <f t="shared" si="6"/>
        <v>18.364799999999999</v>
      </c>
      <c r="L11" s="9" t="e">
        <f t="shared" si="6"/>
        <v>#N/A</v>
      </c>
      <c r="M11" s="9">
        <f t="shared" si="6"/>
        <v>27.867000000000001</v>
      </c>
      <c r="N11" s="9" t="e">
        <f t="shared" si="6"/>
        <v>#N/A</v>
      </c>
      <c r="O11" s="9" t="e">
        <f t="shared" si="6"/>
        <v>#N/A</v>
      </c>
      <c r="P11" s="9" t="e">
        <f t="shared" si="6"/>
        <v>#N/A</v>
      </c>
      <c r="Q11" s="9" t="e">
        <f t="shared" si="6"/>
        <v>#N/A</v>
      </c>
      <c r="R11" s="9">
        <f t="shared" si="6"/>
        <v>14.064499999999999</v>
      </c>
      <c r="S11" s="9" t="e">
        <f t="shared" si="6"/>
        <v>#N/A</v>
      </c>
      <c r="T11" s="9">
        <f t="shared" si="6"/>
        <v>27.166999999999998</v>
      </c>
      <c r="U11" s="9" t="e">
        <f t="shared" si="6"/>
        <v>#N/A</v>
      </c>
      <c r="V11" s="9" t="e">
        <f t="shared" si="6"/>
        <v>#N/A</v>
      </c>
      <c r="W11" s="9" t="e">
        <f t="shared" si="6"/>
        <v>#N/A</v>
      </c>
      <c r="X11" s="9" t="e">
        <f t="shared" si="6"/>
        <v>#N/A</v>
      </c>
      <c r="Y11" s="9" t="e">
        <f t="shared" si="6"/>
        <v>#N/A</v>
      </c>
      <c r="Z11" s="9">
        <f t="shared" si="6"/>
        <v>31.1</v>
      </c>
      <c r="AA11" s="9" t="e">
        <f t="shared" si="6"/>
        <v>#N/A</v>
      </c>
      <c r="AB11" s="9">
        <f t="shared" si="6"/>
        <v>13.353499999999999</v>
      </c>
      <c r="AC11" s="9">
        <f t="shared" si="6"/>
        <v>13.178000000000001</v>
      </c>
      <c r="AD11" s="9" t="e">
        <f t="shared" si="6"/>
        <v>#N/A</v>
      </c>
      <c r="AE11" s="9" t="e">
        <f t="shared" si="6"/>
        <v>#N/A</v>
      </c>
      <c r="AF11" s="9" t="e">
        <f t="shared" si="6"/>
        <v>#N/A</v>
      </c>
      <c r="AG11" s="9">
        <f t="shared" si="6"/>
        <v>20.2163</v>
      </c>
      <c r="AH11" s="9">
        <f t="shared" si="6"/>
        <v>21.300000000000004</v>
      </c>
      <c r="AI11" s="9" t="e">
        <f t="shared" si="6"/>
        <v>#N/A</v>
      </c>
      <c r="AJ11" s="9" t="e">
        <f t="shared" si="6"/>
        <v>#N/A</v>
      </c>
      <c r="AK11" s="9" t="e">
        <f t="shared" si="6"/>
        <v>#N/A</v>
      </c>
      <c r="AL11" s="9" t="e">
        <f t="shared" si="6"/>
        <v>#N/A</v>
      </c>
      <c r="AM11" s="9">
        <f t="shared" si="6"/>
        <v>31.971999999999998</v>
      </c>
      <c r="AN11" s="9">
        <f t="shared" si="6"/>
        <v>30.716300000000004</v>
      </c>
      <c r="AO11" s="9" t="e">
        <f t="shared" si="6"/>
        <v>#N/A</v>
      </c>
      <c r="AP11" s="9" t="e">
        <f t="shared" si="6"/>
        <v>#N/A</v>
      </c>
      <c r="AQ11" s="9" t="e">
        <f t="shared" si="6"/>
        <v>#N/A</v>
      </c>
      <c r="AR11" s="9" t="e">
        <f t="shared" si="6"/>
        <v>#N/A</v>
      </c>
      <c r="AS11" s="9" t="e">
        <f t="shared" si="6"/>
        <v>#N/A</v>
      </c>
      <c r="AT11" s="9" t="e">
        <f t="shared" si="6"/>
        <v>#N/A</v>
      </c>
      <c r="AU11" s="9">
        <f t="shared" si="6"/>
        <v>34.224299999999999</v>
      </c>
      <c r="AV11" s="9" t="e">
        <f t="shared" si="6"/>
        <v>#N/A</v>
      </c>
      <c r="AW11" s="9" t="e">
        <f t="shared" si="6"/>
        <v>#N/A</v>
      </c>
      <c r="AX11" s="9" t="e">
        <f t="shared" si="6"/>
        <v>#N/A</v>
      </c>
      <c r="AY11" s="9" t="e">
        <f t="shared" si="6"/>
        <v>#N/A</v>
      </c>
      <c r="AZ11" s="9" t="e">
        <f t="shared" si="6"/>
        <v>#N/A</v>
      </c>
      <c r="BA11" s="9" t="e">
        <f t="shared" si="6"/>
        <v>#N/A</v>
      </c>
      <c r="BB11" s="9" t="e">
        <f t="shared" si="6"/>
        <v>#N/A</v>
      </c>
      <c r="BC11" s="9" t="e">
        <f t="shared" si="6"/>
        <v>#N/A</v>
      </c>
      <c r="BD11" s="9" t="e">
        <f t="shared" si="6"/>
        <v>#N/A</v>
      </c>
      <c r="BE11" s="9" t="e">
        <f t="shared" si="6"/>
        <v>#N/A</v>
      </c>
      <c r="BF11" s="9">
        <f t="shared" si="6"/>
        <v>19.497999999999998</v>
      </c>
      <c r="BG11" s="9" t="e">
        <f t="shared" si="6"/>
        <v>#N/A</v>
      </c>
      <c r="BH11" s="9" t="e">
        <f t="shared" si="6"/>
        <v>#N/A</v>
      </c>
      <c r="BI11" s="9">
        <f t="shared" si="6"/>
        <v>26.85</v>
      </c>
      <c r="BJ11" s="9">
        <f t="shared" si="6"/>
        <v>12.082999999999998</v>
      </c>
      <c r="BK11" s="9" t="e">
        <f t="shared" si="6"/>
        <v>#N/A</v>
      </c>
      <c r="BL11" s="9" t="e">
        <f t="shared" si="6"/>
        <v>#N/A</v>
      </c>
      <c r="BM11" s="9">
        <f t="shared" si="6"/>
        <v>42.033999999999999</v>
      </c>
      <c r="BN11" s="9" t="e">
        <f t="shared" si="6"/>
        <v>#N/A</v>
      </c>
      <c r="BO11" s="9" t="e">
        <f t="shared" si="6"/>
        <v>#N/A</v>
      </c>
      <c r="BP11" s="9" t="e">
        <f t="shared" ref="BP11:CK11" si="7">IF(BP$3="Small",BP$6,NA())</f>
        <v>#N/A</v>
      </c>
      <c r="BQ11" s="9">
        <f t="shared" si="7"/>
        <v>15.3</v>
      </c>
      <c r="BR11" s="9" t="e">
        <f t="shared" si="7"/>
        <v>#N/A</v>
      </c>
      <c r="BS11" s="9" t="e">
        <f t="shared" si="7"/>
        <v>#N/A</v>
      </c>
      <c r="BT11" s="9" t="e">
        <f t="shared" si="7"/>
        <v>#N/A</v>
      </c>
      <c r="BU11" s="9" t="e">
        <f t="shared" si="7"/>
        <v>#N/A</v>
      </c>
      <c r="BV11" s="9" t="e">
        <f t="shared" si="7"/>
        <v>#N/A</v>
      </c>
      <c r="BW11" s="9" t="e">
        <f t="shared" si="7"/>
        <v>#N/A</v>
      </c>
      <c r="BX11" s="9" t="e">
        <f t="shared" si="7"/>
        <v>#N/A</v>
      </c>
      <c r="BY11" s="9" t="e">
        <f t="shared" si="7"/>
        <v>#N/A</v>
      </c>
      <c r="BZ11" s="9">
        <f t="shared" si="7"/>
        <v>13.616</v>
      </c>
      <c r="CA11" s="9">
        <f t="shared" si="7"/>
        <v>33.683</v>
      </c>
      <c r="CB11" s="9" t="e">
        <f t="shared" si="7"/>
        <v>#N/A</v>
      </c>
      <c r="CC11" s="9" t="e">
        <f t="shared" si="7"/>
        <v>#N/A</v>
      </c>
      <c r="CD11" s="9" t="e">
        <f t="shared" si="7"/>
        <v>#N/A</v>
      </c>
      <c r="CE11" s="9">
        <f t="shared" si="7"/>
        <v>19.566299999999998</v>
      </c>
      <c r="CF11" s="9" t="e">
        <f t="shared" si="7"/>
        <v>#N/A</v>
      </c>
      <c r="CG11" s="9" t="e">
        <f t="shared" si="7"/>
        <v>#N/A</v>
      </c>
      <c r="CH11" s="9" t="e">
        <f t="shared" si="7"/>
        <v>#N/A</v>
      </c>
      <c r="CI11" s="9">
        <f t="shared" si="7"/>
        <v>21.25</v>
      </c>
      <c r="CJ11" s="9">
        <f t="shared" si="7"/>
        <v>23.483000000000004</v>
      </c>
      <c r="CK11" s="9" t="e">
        <f t="shared" si="7"/>
        <v>#N/A</v>
      </c>
      <c r="CL11" s="9" t="e">
        <f>IF(CL$3="Small",CL$6,NA())</f>
        <v>#N/A</v>
      </c>
      <c r="CM11" s="9"/>
      <c r="CN11" s="9"/>
    </row>
    <row r="12" spans="1:92" x14ac:dyDescent="0.25">
      <c r="A12" s="345"/>
      <c r="B12" s="1" t="s">
        <v>224</v>
      </c>
      <c r="C12" s="9" t="e">
        <f>IF(C$3="Medium",C$6,NA())</f>
        <v>#N/A</v>
      </c>
      <c r="D12" s="9" t="e">
        <f t="shared" ref="D12:BO12" si="8">IF(D$3="Medium",D$6,NA())</f>
        <v>#N/A</v>
      </c>
      <c r="E12" s="9">
        <f t="shared" si="8"/>
        <v>37.800000000000004</v>
      </c>
      <c r="F12" s="9" t="e">
        <f t="shared" si="8"/>
        <v>#N/A</v>
      </c>
      <c r="G12" s="9" t="e">
        <f t="shared" si="8"/>
        <v>#N/A</v>
      </c>
      <c r="H12" s="9" t="e">
        <f t="shared" si="8"/>
        <v>#N/A</v>
      </c>
      <c r="I12" s="9" t="e">
        <f t="shared" si="8"/>
        <v>#N/A</v>
      </c>
      <c r="J12" s="9">
        <f t="shared" si="8"/>
        <v>29.099999999999998</v>
      </c>
      <c r="K12" s="9" t="e">
        <f t="shared" si="8"/>
        <v>#N/A</v>
      </c>
      <c r="L12" s="9">
        <f t="shared" si="8"/>
        <v>38.783000000000001</v>
      </c>
      <c r="M12" s="9" t="e">
        <f t="shared" si="8"/>
        <v>#N/A</v>
      </c>
      <c r="N12" s="9">
        <f t="shared" si="8"/>
        <v>27.299999999999997</v>
      </c>
      <c r="O12" s="9" t="e">
        <f t="shared" si="8"/>
        <v>#N/A</v>
      </c>
      <c r="P12" s="9" t="e">
        <f t="shared" si="8"/>
        <v>#N/A</v>
      </c>
      <c r="Q12" s="9">
        <f t="shared" si="8"/>
        <v>19.249299999999998</v>
      </c>
      <c r="R12" s="9" t="e">
        <f t="shared" si="8"/>
        <v>#N/A</v>
      </c>
      <c r="S12" s="9">
        <f t="shared" si="8"/>
        <v>26.050999999999998</v>
      </c>
      <c r="T12" s="9" t="e">
        <f t="shared" si="8"/>
        <v>#N/A</v>
      </c>
      <c r="U12" s="9">
        <f t="shared" si="8"/>
        <v>35.849999999999994</v>
      </c>
      <c r="V12" s="9">
        <f t="shared" si="8"/>
        <v>14.600000000000001</v>
      </c>
      <c r="W12" s="9">
        <f t="shared" si="8"/>
        <v>21.95</v>
      </c>
      <c r="X12" s="9" t="e">
        <f t="shared" si="8"/>
        <v>#N/A</v>
      </c>
      <c r="Y12" s="9" t="e">
        <f t="shared" si="8"/>
        <v>#N/A</v>
      </c>
      <c r="Z12" s="9" t="e">
        <f t="shared" si="8"/>
        <v>#N/A</v>
      </c>
      <c r="AA12" s="9">
        <f t="shared" si="8"/>
        <v>16.967300000000002</v>
      </c>
      <c r="AB12" s="9" t="e">
        <f t="shared" si="8"/>
        <v>#N/A</v>
      </c>
      <c r="AC12" s="9" t="e">
        <f t="shared" si="8"/>
        <v>#N/A</v>
      </c>
      <c r="AD12" s="9" t="e">
        <f t="shared" si="8"/>
        <v>#N/A</v>
      </c>
      <c r="AE12" s="9" t="e">
        <f t="shared" si="8"/>
        <v>#N/A</v>
      </c>
      <c r="AF12" s="9" t="e">
        <f t="shared" si="8"/>
        <v>#N/A</v>
      </c>
      <c r="AG12" s="9" t="e">
        <f t="shared" si="8"/>
        <v>#N/A</v>
      </c>
      <c r="AH12" s="9" t="e">
        <f t="shared" si="8"/>
        <v>#N/A</v>
      </c>
      <c r="AI12" s="9" t="e">
        <f t="shared" si="8"/>
        <v>#N/A</v>
      </c>
      <c r="AJ12" s="9" t="e">
        <f t="shared" si="8"/>
        <v>#N/A</v>
      </c>
      <c r="AK12" s="9">
        <f t="shared" si="8"/>
        <v>27.716999999999999</v>
      </c>
      <c r="AL12" s="9" t="e">
        <f t="shared" si="8"/>
        <v>#N/A</v>
      </c>
      <c r="AM12" s="9" t="e">
        <f t="shared" si="8"/>
        <v>#N/A</v>
      </c>
      <c r="AN12" s="9" t="e">
        <f t="shared" si="8"/>
        <v>#N/A</v>
      </c>
      <c r="AO12" s="9">
        <f t="shared" si="8"/>
        <v>27.817</v>
      </c>
      <c r="AP12" s="9">
        <f t="shared" si="8"/>
        <v>24.167000000000002</v>
      </c>
      <c r="AQ12" s="9" t="e">
        <f t="shared" si="8"/>
        <v>#N/A</v>
      </c>
      <c r="AR12" s="9">
        <f t="shared" si="8"/>
        <v>19.408999999999999</v>
      </c>
      <c r="AS12" s="9" t="e">
        <f t="shared" si="8"/>
        <v>#N/A</v>
      </c>
      <c r="AT12" s="9" t="e">
        <f t="shared" si="8"/>
        <v>#N/A</v>
      </c>
      <c r="AU12" s="9" t="e">
        <f t="shared" si="8"/>
        <v>#N/A</v>
      </c>
      <c r="AV12" s="9">
        <f t="shared" si="8"/>
        <v>30.300999999999998</v>
      </c>
      <c r="AW12" s="9" t="e">
        <f t="shared" si="8"/>
        <v>#N/A</v>
      </c>
      <c r="AX12" s="9">
        <f t="shared" si="8"/>
        <v>17.233000000000001</v>
      </c>
      <c r="AY12" s="9" t="e">
        <f t="shared" si="8"/>
        <v>#N/A</v>
      </c>
      <c r="AZ12" s="9" t="e">
        <f t="shared" si="8"/>
        <v>#N/A</v>
      </c>
      <c r="BA12" s="9" t="e">
        <f t="shared" si="8"/>
        <v>#N/A</v>
      </c>
      <c r="BB12" s="9" t="e">
        <f t="shared" si="8"/>
        <v>#N/A</v>
      </c>
      <c r="BC12" s="9" t="e">
        <f t="shared" si="8"/>
        <v>#N/A</v>
      </c>
      <c r="BD12" s="9" t="e">
        <f t="shared" si="8"/>
        <v>#N/A</v>
      </c>
      <c r="BE12" s="9" t="e">
        <f t="shared" si="8"/>
        <v>#N/A</v>
      </c>
      <c r="BF12" s="9" t="e">
        <f t="shared" si="8"/>
        <v>#N/A</v>
      </c>
      <c r="BG12" s="9">
        <f t="shared" si="8"/>
        <v>18.0337</v>
      </c>
      <c r="BH12" s="9">
        <f t="shared" si="8"/>
        <v>16.351300000000002</v>
      </c>
      <c r="BI12" s="9" t="e">
        <f t="shared" si="8"/>
        <v>#N/A</v>
      </c>
      <c r="BJ12" s="9" t="e">
        <f t="shared" si="8"/>
        <v>#N/A</v>
      </c>
      <c r="BK12" s="9" t="e">
        <f t="shared" si="8"/>
        <v>#N/A</v>
      </c>
      <c r="BL12" s="9">
        <f t="shared" si="8"/>
        <v>9.7840000000000007</v>
      </c>
      <c r="BM12" s="9" t="e">
        <f t="shared" si="8"/>
        <v>#N/A</v>
      </c>
      <c r="BN12" s="9">
        <f t="shared" si="8"/>
        <v>29.367000000000001</v>
      </c>
      <c r="BO12" s="9" t="e">
        <f t="shared" si="8"/>
        <v>#N/A</v>
      </c>
      <c r="BP12" s="9" t="e">
        <f t="shared" ref="BP12:CK12" si="9">IF(BP$3="Medium",BP$6,NA())</f>
        <v>#N/A</v>
      </c>
      <c r="BQ12" s="9" t="e">
        <f t="shared" si="9"/>
        <v>#N/A</v>
      </c>
      <c r="BR12" s="9">
        <f t="shared" si="9"/>
        <v>7.3056999999999981</v>
      </c>
      <c r="BS12" s="9" t="e">
        <f t="shared" si="9"/>
        <v>#N/A</v>
      </c>
      <c r="BT12" s="9" t="e">
        <f t="shared" si="9"/>
        <v>#N/A</v>
      </c>
      <c r="BU12" s="9">
        <f t="shared" si="9"/>
        <v>24.083300000000008</v>
      </c>
      <c r="BV12" s="9">
        <f t="shared" si="9"/>
        <v>19.883299999999998</v>
      </c>
      <c r="BW12" s="9">
        <f t="shared" si="9"/>
        <v>17.183299999999999</v>
      </c>
      <c r="BX12" s="9">
        <f t="shared" si="9"/>
        <v>15.767000000000001</v>
      </c>
      <c r="BY12" s="9" t="e">
        <f t="shared" si="9"/>
        <v>#N/A</v>
      </c>
      <c r="BZ12" s="9" t="e">
        <f t="shared" si="9"/>
        <v>#N/A</v>
      </c>
      <c r="CA12" s="9" t="e">
        <f t="shared" si="9"/>
        <v>#N/A</v>
      </c>
      <c r="CB12" s="9">
        <f t="shared" si="9"/>
        <v>26.1</v>
      </c>
      <c r="CC12" s="9" t="e">
        <f t="shared" si="9"/>
        <v>#N/A</v>
      </c>
      <c r="CD12" s="9" t="e">
        <f t="shared" si="9"/>
        <v>#N/A</v>
      </c>
      <c r="CE12" s="9" t="e">
        <f t="shared" si="9"/>
        <v>#N/A</v>
      </c>
      <c r="CF12" s="9" t="e">
        <f t="shared" si="9"/>
        <v>#N/A</v>
      </c>
      <c r="CG12" s="9">
        <f t="shared" si="9"/>
        <v>44.132999999999996</v>
      </c>
      <c r="CH12" s="9" t="e">
        <f t="shared" si="9"/>
        <v>#N/A</v>
      </c>
      <c r="CI12" s="9" t="e">
        <f t="shared" si="9"/>
        <v>#N/A</v>
      </c>
      <c r="CJ12" s="9" t="e">
        <f t="shared" si="9"/>
        <v>#N/A</v>
      </c>
      <c r="CK12" s="9">
        <f t="shared" si="9"/>
        <v>14.968999999999998</v>
      </c>
      <c r="CL12" s="9">
        <f>IF(CL$3="Medium",CL$6,NA())</f>
        <v>23.798999999999999</v>
      </c>
      <c r="CM12" s="9"/>
      <c r="CN12" s="9"/>
    </row>
    <row r="13" spans="1:92" x14ac:dyDescent="0.25">
      <c r="A13" s="345"/>
      <c r="B13" s="1" t="s">
        <v>226</v>
      </c>
      <c r="C13" s="9">
        <f>IF(C$3="Large",C$6,NA())</f>
        <v>21.25</v>
      </c>
      <c r="D13" s="9">
        <f t="shared" ref="D13:BO13" si="10">IF(D$3="Large",D$6,NA())</f>
        <v>17.266999999999996</v>
      </c>
      <c r="E13" s="9" t="e">
        <f t="shared" si="10"/>
        <v>#N/A</v>
      </c>
      <c r="F13" s="9">
        <f t="shared" si="10"/>
        <v>22.699999999999996</v>
      </c>
      <c r="G13" s="9" t="e">
        <f t="shared" si="10"/>
        <v>#N/A</v>
      </c>
      <c r="H13" s="9">
        <f t="shared" si="10"/>
        <v>21.816666666666666</v>
      </c>
      <c r="I13" s="9" t="e">
        <f t="shared" si="10"/>
        <v>#N/A</v>
      </c>
      <c r="J13" s="9" t="e">
        <f t="shared" si="10"/>
        <v>#N/A</v>
      </c>
      <c r="K13" s="9" t="e">
        <f t="shared" si="10"/>
        <v>#N/A</v>
      </c>
      <c r="L13" s="9" t="e">
        <f t="shared" si="10"/>
        <v>#N/A</v>
      </c>
      <c r="M13" s="9" t="e">
        <f t="shared" si="10"/>
        <v>#N/A</v>
      </c>
      <c r="N13" s="9" t="e">
        <f t="shared" si="10"/>
        <v>#N/A</v>
      </c>
      <c r="O13" s="9">
        <f t="shared" si="10"/>
        <v>12.533999999999999</v>
      </c>
      <c r="P13" s="9">
        <f t="shared" si="10"/>
        <v>28.850999999999999</v>
      </c>
      <c r="Q13" s="9" t="e">
        <f t="shared" si="10"/>
        <v>#N/A</v>
      </c>
      <c r="R13" s="9" t="e">
        <f t="shared" si="10"/>
        <v>#N/A</v>
      </c>
      <c r="S13" s="9" t="e">
        <f t="shared" si="10"/>
        <v>#N/A</v>
      </c>
      <c r="T13" s="9" t="e">
        <f t="shared" si="10"/>
        <v>#N/A</v>
      </c>
      <c r="U13" s="9" t="e">
        <f t="shared" si="10"/>
        <v>#N/A</v>
      </c>
      <c r="V13" s="9" t="e">
        <f t="shared" si="10"/>
        <v>#N/A</v>
      </c>
      <c r="W13" s="9" t="e">
        <f t="shared" si="10"/>
        <v>#N/A</v>
      </c>
      <c r="X13" s="9">
        <f t="shared" si="10"/>
        <v>18.533000000000001</v>
      </c>
      <c r="Y13" s="9">
        <f t="shared" si="10"/>
        <v>16.400000000000002</v>
      </c>
      <c r="Z13" s="9" t="e">
        <f t="shared" si="10"/>
        <v>#N/A</v>
      </c>
      <c r="AA13" s="9" t="e">
        <f t="shared" si="10"/>
        <v>#N/A</v>
      </c>
      <c r="AB13" s="9" t="e">
        <f t="shared" si="10"/>
        <v>#N/A</v>
      </c>
      <c r="AC13" s="9" t="e">
        <f t="shared" si="10"/>
        <v>#N/A</v>
      </c>
      <c r="AD13" s="9">
        <f t="shared" si="10"/>
        <v>20.265999999999998</v>
      </c>
      <c r="AE13" s="9">
        <f t="shared" si="10"/>
        <v>16.150300000000001</v>
      </c>
      <c r="AF13" s="9">
        <f t="shared" si="10"/>
        <v>28.183299999999999</v>
      </c>
      <c r="AG13" s="9" t="e">
        <f t="shared" si="10"/>
        <v>#N/A</v>
      </c>
      <c r="AH13" s="9" t="e">
        <f t="shared" si="10"/>
        <v>#N/A</v>
      </c>
      <c r="AI13" s="9">
        <f t="shared" si="10"/>
        <v>23.132999999999999</v>
      </c>
      <c r="AJ13" s="9">
        <f t="shared" si="10"/>
        <v>29.082999999999998</v>
      </c>
      <c r="AK13" s="9" t="e">
        <f t="shared" si="10"/>
        <v>#N/A</v>
      </c>
      <c r="AL13" s="9">
        <f t="shared" si="10"/>
        <v>12.149999999999999</v>
      </c>
      <c r="AM13" s="9" t="e">
        <f t="shared" si="10"/>
        <v>#N/A</v>
      </c>
      <c r="AN13" s="9" t="e">
        <f t="shared" si="10"/>
        <v>#N/A</v>
      </c>
      <c r="AO13" s="9" t="e">
        <f t="shared" si="10"/>
        <v>#N/A</v>
      </c>
      <c r="AP13" s="9" t="e">
        <f t="shared" si="10"/>
        <v>#N/A</v>
      </c>
      <c r="AQ13" s="9">
        <f t="shared" si="10"/>
        <v>11.967000000000002</v>
      </c>
      <c r="AR13" s="9" t="e">
        <f t="shared" si="10"/>
        <v>#N/A</v>
      </c>
      <c r="AS13" s="9">
        <f t="shared" si="10"/>
        <v>16.032999999999998</v>
      </c>
      <c r="AT13" s="9">
        <f t="shared" si="10"/>
        <v>22.683</v>
      </c>
      <c r="AU13" s="9" t="e">
        <f t="shared" si="10"/>
        <v>#N/A</v>
      </c>
      <c r="AV13" s="9" t="e">
        <f t="shared" si="10"/>
        <v>#N/A</v>
      </c>
      <c r="AW13" s="9">
        <f t="shared" si="10"/>
        <v>18</v>
      </c>
      <c r="AX13" s="9" t="e">
        <f t="shared" si="10"/>
        <v>#N/A</v>
      </c>
      <c r="AY13" s="9">
        <f t="shared" si="10"/>
        <v>15.481999999999999</v>
      </c>
      <c r="AZ13" s="9">
        <f t="shared" si="10"/>
        <v>19.165699999999998</v>
      </c>
      <c r="BA13" s="9" t="e">
        <f t="shared" si="10"/>
        <v>#N/A</v>
      </c>
      <c r="BB13" s="9">
        <f t="shared" si="10"/>
        <v>19.5167</v>
      </c>
      <c r="BC13" s="9">
        <f t="shared" si="10"/>
        <v>20.049999999999997</v>
      </c>
      <c r="BD13" s="9">
        <f t="shared" si="10"/>
        <v>26.700299999999999</v>
      </c>
      <c r="BE13" s="9">
        <f t="shared" si="10"/>
        <v>18.183</v>
      </c>
      <c r="BF13" s="9" t="e">
        <f t="shared" si="10"/>
        <v>#N/A</v>
      </c>
      <c r="BG13" s="9" t="e">
        <f t="shared" si="10"/>
        <v>#N/A</v>
      </c>
      <c r="BH13" s="9" t="e">
        <f t="shared" si="10"/>
        <v>#N/A</v>
      </c>
      <c r="BI13" s="9" t="e">
        <f t="shared" si="10"/>
        <v>#N/A</v>
      </c>
      <c r="BJ13" s="9" t="e">
        <f t="shared" si="10"/>
        <v>#N/A</v>
      </c>
      <c r="BK13" s="9">
        <f t="shared" si="10"/>
        <v>23.386199999999999</v>
      </c>
      <c r="BL13" s="9" t="e">
        <f t="shared" si="10"/>
        <v>#N/A</v>
      </c>
      <c r="BM13" s="9" t="e">
        <f t="shared" si="10"/>
        <v>#N/A</v>
      </c>
      <c r="BN13" s="9" t="e">
        <f t="shared" si="10"/>
        <v>#N/A</v>
      </c>
      <c r="BO13" s="9">
        <f t="shared" si="10"/>
        <v>33.742000000000004</v>
      </c>
      <c r="BP13" s="9">
        <f t="shared" ref="BP13:CK13" si="11">IF(BP$3="Large",BP$6,NA())</f>
        <v>15.649000000000001</v>
      </c>
      <c r="BQ13" s="9" t="e">
        <f t="shared" si="11"/>
        <v>#N/A</v>
      </c>
      <c r="BR13" s="9" t="e">
        <f t="shared" si="11"/>
        <v>#N/A</v>
      </c>
      <c r="BS13" s="9" t="e">
        <f t="shared" si="11"/>
        <v>#N/A</v>
      </c>
      <c r="BT13" s="9">
        <f t="shared" si="11"/>
        <v>18.183</v>
      </c>
      <c r="BU13" s="9" t="e">
        <f t="shared" si="11"/>
        <v>#N/A</v>
      </c>
      <c r="BV13" s="9" t="e">
        <f t="shared" si="11"/>
        <v>#N/A</v>
      </c>
      <c r="BW13" s="9" t="e">
        <f t="shared" si="11"/>
        <v>#N/A</v>
      </c>
      <c r="BX13" s="9" t="e">
        <f t="shared" si="11"/>
        <v>#N/A</v>
      </c>
      <c r="BY13" s="9">
        <f t="shared" si="11"/>
        <v>21.083000000000002</v>
      </c>
      <c r="BZ13" s="9" t="e">
        <f t="shared" si="11"/>
        <v>#N/A</v>
      </c>
      <c r="CA13" s="9" t="e">
        <f t="shared" si="11"/>
        <v>#N/A</v>
      </c>
      <c r="CB13" s="9" t="e">
        <f t="shared" si="11"/>
        <v>#N/A</v>
      </c>
      <c r="CC13" s="9">
        <f t="shared" si="11"/>
        <v>10.867000000000001</v>
      </c>
      <c r="CD13" s="9">
        <f t="shared" si="11"/>
        <v>8.5829999999999984</v>
      </c>
      <c r="CE13" s="9" t="e">
        <f t="shared" si="11"/>
        <v>#N/A</v>
      </c>
      <c r="CF13" s="9">
        <f t="shared" si="11"/>
        <v>28.067</v>
      </c>
      <c r="CG13" s="9" t="e">
        <f t="shared" si="11"/>
        <v>#N/A</v>
      </c>
      <c r="CH13" s="9">
        <f t="shared" si="11"/>
        <v>22.5</v>
      </c>
      <c r="CI13" s="9" t="e">
        <f t="shared" si="11"/>
        <v>#N/A</v>
      </c>
      <c r="CJ13" s="9" t="e">
        <f t="shared" si="11"/>
        <v>#N/A</v>
      </c>
      <c r="CK13" s="9" t="e">
        <f t="shared" si="11"/>
        <v>#N/A</v>
      </c>
      <c r="CL13" s="9" t="e">
        <f>IF(CL$3="Large",CL$6,NA())</f>
        <v>#N/A</v>
      </c>
      <c r="CM13" s="9"/>
      <c r="CN13" s="9"/>
    </row>
    <row r="14" spans="1:92" x14ac:dyDescent="0.25">
      <c r="A14" s="345"/>
      <c r="B14" s="1"/>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row>
    <row r="15" spans="1:92" x14ac:dyDescent="0.25">
      <c r="A15" s="345"/>
      <c r="B15" s="1"/>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row>
    <row r="16" spans="1:92" x14ac:dyDescent="0.25">
      <c r="A16" s="345"/>
      <c r="B16" s="1"/>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row>
    <row r="17" spans="1:9" x14ac:dyDescent="0.25">
      <c r="A17" s="345"/>
    </row>
    <row r="18" spans="1:9" x14ac:dyDescent="0.25">
      <c r="A18" s="345"/>
      <c r="B18" s="237"/>
      <c r="C18" s="237"/>
      <c r="D18" s="237"/>
      <c r="E18" s="237"/>
      <c r="F18" s="237"/>
      <c r="G18" s="237"/>
      <c r="H18" s="237"/>
      <c r="I18" s="237"/>
    </row>
    <row r="19" spans="1:9" x14ac:dyDescent="0.25">
      <c r="A19" s="345"/>
    </row>
    <row r="20" spans="1:9" x14ac:dyDescent="0.25">
      <c r="A20" s="345"/>
    </row>
    <row r="21" spans="1:9" x14ac:dyDescent="0.25">
      <c r="A21" s="345"/>
    </row>
    <row r="22" spans="1:9" x14ac:dyDescent="0.25">
      <c r="A22" s="345"/>
    </row>
    <row r="23" spans="1:9" x14ac:dyDescent="0.25">
      <c r="A23" s="345"/>
    </row>
    <row r="24" spans="1:9" x14ac:dyDescent="0.25">
      <c r="A24" s="345"/>
    </row>
    <row r="25" spans="1:9" x14ac:dyDescent="0.25">
      <c r="A25" s="345"/>
    </row>
    <row r="26" spans="1:9" x14ac:dyDescent="0.25">
      <c r="A26" s="345"/>
    </row>
    <row r="27" spans="1:9" x14ac:dyDescent="0.25">
      <c r="A27" s="345"/>
    </row>
    <row r="28" spans="1:9" x14ac:dyDescent="0.25">
      <c r="A28" s="345"/>
    </row>
    <row r="29" spans="1:9" x14ac:dyDescent="0.25">
      <c r="A29" s="345"/>
    </row>
    <row r="30" spans="1:9" x14ac:dyDescent="0.25">
      <c r="A30" s="345"/>
    </row>
    <row r="31" spans="1:9" ht="15.75" thickBot="1" x14ac:dyDescent="0.3">
      <c r="A31" s="346"/>
    </row>
    <row r="32" spans="1:9"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50" spans="2:18" x14ac:dyDescent="0.25">
      <c r="B50" t="s">
        <v>360</v>
      </c>
      <c r="C50">
        <v>5</v>
      </c>
      <c r="D50">
        <v>10</v>
      </c>
      <c r="E50">
        <f>D50+5</f>
        <v>15</v>
      </c>
      <c r="F50">
        <f t="shared" ref="F50:R50" si="12">E50+5</f>
        <v>20</v>
      </c>
      <c r="G50">
        <f t="shared" si="12"/>
        <v>25</v>
      </c>
      <c r="H50">
        <f t="shared" si="12"/>
        <v>30</v>
      </c>
      <c r="I50">
        <f t="shared" si="12"/>
        <v>35</v>
      </c>
      <c r="J50">
        <f t="shared" si="12"/>
        <v>40</v>
      </c>
      <c r="K50">
        <f t="shared" si="12"/>
        <v>45</v>
      </c>
      <c r="L50">
        <f t="shared" si="12"/>
        <v>50</v>
      </c>
      <c r="M50">
        <f t="shared" si="12"/>
        <v>55</v>
      </c>
      <c r="N50">
        <f t="shared" si="12"/>
        <v>60</v>
      </c>
      <c r="O50">
        <f t="shared" si="12"/>
        <v>65</v>
      </c>
      <c r="P50">
        <f t="shared" si="12"/>
        <v>70</v>
      </c>
      <c r="Q50">
        <f t="shared" si="12"/>
        <v>75</v>
      </c>
      <c r="R50">
        <f t="shared" si="12"/>
        <v>80</v>
      </c>
    </row>
    <row r="51" spans="2:18" x14ac:dyDescent="0.25">
      <c r="C51">
        <f>C50*0.8</f>
        <v>4</v>
      </c>
      <c r="D51">
        <f t="shared" ref="D51:R51" si="13">D50*0.8</f>
        <v>8</v>
      </c>
      <c r="E51">
        <f t="shared" si="13"/>
        <v>12</v>
      </c>
      <c r="F51">
        <f t="shared" si="13"/>
        <v>16</v>
      </c>
      <c r="G51">
        <f t="shared" si="13"/>
        <v>20</v>
      </c>
      <c r="H51">
        <f t="shared" si="13"/>
        <v>24</v>
      </c>
      <c r="I51">
        <f t="shared" si="13"/>
        <v>28</v>
      </c>
      <c r="J51">
        <f t="shared" si="13"/>
        <v>32</v>
      </c>
      <c r="K51">
        <f t="shared" si="13"/>
        <v>36</v>
      </c>
      <c r="L51">
        <f t="shared" si="13"/>
        <v>40</v>
      </c>
      <c r="M51">
        <f t="shared" si="13"/>
        <v>44</v>
      </c>
      <c r="N51">
        <f t="shared" si="13"/>
        <v>48</v>
      </c>
      <c r="O51">
        <f t="shared" si="13"/>
        <v>52</v>
      </c>
      <c r="P51">
        <f t="shared" si="13"/>
        <v>56</v>
      </c>
      <c r="Q51">
        <f t="shared" si="13"/>
        <v>60</v>
      </c>
      <c r="R51">
        <f t="shared" si="13"/>
        <v>64</v>
      </c>
    </row>
  </sheetData>
  <autoFilter ref="B1:B18"/>
  <sortState columnSort="1" ref="B1:BY6">
    <sortCondition ref="B1:BY1"/>
  </sortState>
  <mergeCells count="1">
    <mergeCell ref="A1:A3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Y57"/>
  <sheetViews>
    <sheetView topLeftCell="A16" zoomScale="60" zoomScaleNormal="60" workbookViewId="0">
      <selection activeCell="E27" sqref="E27"/>
    </sheetView>
  </sheetViews>
  <sheetFormatPr defaultRowHeight="15" x14ac:dyDescent="0.25"/>
  <cols>
    <col min="1" max="1" width="36.5703125" bestFit="1" customWidth="1"/>
    <col min="2" max="2" width="19" bestFit="1" customWidth="1"/>
    <col min="3" max="3" width="28.7109375" bestFit="1" customWidth="1"/>
    <col min="4" max="4" width="39" style="1" bestFit="1" customWidth="1"/>
    <col min="5" max="5" width="42.5703125" style="35" bestFit="1" customWidth="1"/>
    <col min="6" max="6" width="23.7109375" style="1" bestFit="1" customWidth="1"/>
    <col min="7" max="7" width="42.5703125" style="1" bestFit="1" customWidth="1"/>
    <col min="8" max="8" width="10.5703125" style="1" bestFit="1" customWidth="1"/>
    <col min="9" max="11" width="9.7109375" style="1" bestFit="1" customWidth="1"/>
    <col min="12" max="13" width="9.140625" bestFit="1" customWidth="1"/>
    <col min="15" max="15" width="11.5703125" bestFit="1" customWidth="1"/>
    <col min="16" max="16" width="10.42578125" bestFit="1" customWidth="1"/>
    <col min="17" max="17" width="9.85546875" bestFit="1" customWidth="1"/>
    <col min="19" max="19" width="9.140625" bestFit="1" customWidth="1"/>
    <col min="21" max="22" width="10.42578125" bestFit="1" customWidth="1"/>
    <col min="23" max="23" width="9.85546875" bestFit="1" customWidth="1"/>
    <col min="24" max="25" width="11.5703125" bestFit="1" customWidth="1"/>
    <col min="26" max="29" width="9.7109375" bestFit="1" customWidth="1"/>
    <col min="30" max="30" width="11.5703125" bestFit="1" customWidth="1"/>
    <col min="31" max="31" width="10.5703125" bestFit="1" customWidth="1"/>
    <col min="32" max="32" width="11.5703125" bestFit="1" customWidth="1"/>
    <col min="33" max="34" width="9.7109375" bestFit="1" customWidth="1"/>
    <col min="35" max="35" width="11.140625" bestFit="1" customWidth="1"/>
    <col min="36" max="36" width="11.5703125" bestFit="1" customWidth="1"/>
    <col min="37" max="37" width="9.85546875" bestFit="1" customWidth="1"/>
    <col min="38" max="38" width="10.42578125" bestFit="1" customWidth="1"/>
    <col min="39" max="40" width="9.7109375" bestFit="1" customWidth="1"/>
    <col min="42" max="42" width="10.42578125" bestFit="1" customWidth="1"/>
    <col min="43" max="43" width="11.5703125" bestFit="1" customWidth="1"/>
    <col min="44" max="44" width="9.7109375" bestFit="1" customWidth="1"/>
    <col min="45" max="45" width="11.140625" bestFit="1" customWidth="1"/>
    <col min="46" max="46" width="11.5703125" bestFit="1" customWidth="1"/>
    <col min="47" max="48" width="9.7109375" bestFit="1" customWidth="1"/>
    <col min="49" max="49" width="10.42578125" bestFit="1" customWidth="1"/>
    <col min="50" max="50" width="11.5703125" bestFit="1" customWidth="1"/>
    <col min="51" max="51" width="10.42578125" bestFit="1" customWidth="1"/>
    <col min="52" max="52" width="9.7109375" bestFit="1" customWidth="1"/>
    <col min="53" max="54" width="10.42578125" bestFit="1" customWidth="1"/>
    <col min="55" max="56" width="11.5703125" bestFit="1" customWidth="1"/>
    <col min="58" max="61" width="9.7109375" bestFit="1" customWidth="1"/>
    <col min="62" max="62" width="10.5703125" bestFit="1" customWidth="1"/>
    <col min="63" max="63" width="9.85546875" bestFit="1" customWidth="1"/>
    <col min="64" max="65" width="9.7109375" bestFit="1" customWidth="1"/>
    <col min="66" max="67" width="11.5703125" bestFit="1" customWidth="1"/>
    <col min="68" max="68" width="9.7109375" bestFit="1" customWidth="1"/>
    <col min="69" max="69" width="10.42578125" bestFit="1" customWidth="1"/>
    <col min="70" max="70" width="9.7109375" bestFit="1" customWidth="1"/>
    <col min="71" max="71" width="11.5703125" bestFit="1" customWidth="1"/>
    <col min="72" max="73" width="9.85546875" bestFit="1" customWidth="1"/>
    <col min="74" max="75" width="9.7109375" bestFit="1" customWidth="1"/>
    <col min="76" max="76" width="10.42578125" bestFit="1" customWidth="1"/>
    <col min="77" max="78" width="9.7109375" bestFit="1" customWidth="1"/>
    <col min="79" max="79" width="9.85546875" bestFit="1" customWidth="1"/>
    <col min="80" max="80" width="11.140625" bestFit="1" customWidth="1"/>
    <col min="81" max="82" width="11.5703125" bestFit="1" customWidth="1"/>
    <col min="83" max="86" width="10.42578125" bestFit="1" customWidth="1"/>
    <col min="87" max="87" width="9.7109375" bestFit="1" customWidth="1"/>
    <col min="88" max="89" width="10.42578125" bestFit="1" customWidth="1"/>
    <col min="90" max="90" width="9.7109375" bestFit="1" customWidth="1"/>
  </cols>
  <sheetData>
    <row r="1" spans="1:103" ht="15" customHeight="1" x14ac:dyDescent="0.25">
      <c r="A1" s="344" t="s">
        <v>385</v>
      </c>
      <c r="B1" s="6" t="s">
        <v>99</v>
      </c>
      <c r="C1" s="12" t="str">
        <f>'Task Durations'!D1</f>
        <v>001-13</v>
      </c>
      <c r="D1" s="12" t="str">
        <f>'Task Durations'!E1</f>
        <v>002-13</v>
      </c>
      <c r="E1" s="12" t="str">
        <f>'Task Durations'!F1</f>
        <v>003-13</v>
      </c>
      <c r="F1" s="12" t="str">
        <f>'Task Durations'!G1</f>
        <v>004-13</v>
      </c>
      <c r="G1" s="12" t="str">
        <f>'Task Durations'!H1</f>
        <v>005-13</v>
      </c>
      <c r="H1" s="12" t="str">
        <f>'Task Durations'!I1</f>
        <v>006-13</v>
      </c>
      <c r="I1" s="12" t="str">
        <f>'Task Durations'!J1</f>
        <v>007-13</v>
      </c>
      <c r="J1" s="12" t="str">
        <f>'Task Durations'!K1</f>
        <v>008-13</v>
      </c>
      <c r="K1" s="12" t="str">
        <f>'Task Durations'!L1</f>
        <v>009-13</v>
      </c>
      <c r="L1" s="12" t="str">
        <f>'Task Durations'!M1</f>
        <v>010-13</v>
      </c>
      <c r="M1" s="12" t="str">
        <f>'Task Durations'!N1</f>
        <v>011-13</v>
      </c>
      <c r="N1" s="12" t="str">
        <f>'Task Durations'!O1</f>
        <v>012-13</v>
      </c>
      <c r="O1" s="12" t="str">
        <f>'Task Durations'!P1</f>
        <v>013-13</v>
      </c>
      <c r="P1" s="12" t="str">
        <f>'Task Durations'!Q1</f>
        <v>014-13</v>
      </c>
      <c r="Q1" s="12" t="str">
        <f>'Task Durations'!R1</f>
        <v>015-13</v>
      </c>
      <c r="R1" s="12" t="str">
        <f>'Task Durations'!S1</f>
        <v>017-13</v>
      </c>
      <c r="S1" s="12" t="str">
        <f>'Task Durations'!T1</f>
        <v>018-13</v>
      </c>
      <c r="T1" s="12" t="str">
        <f>'Task Durations'!U1</f>
        <v>019-13</v>
      </c>
      <c r="U1" s="12" t="str">
        <f>'Task Durations'!V1</f>
        <v>020-13</v>
      </c>
      <c r="V1" s="12" t="str">
        <f>'Task Durations'!W1</f>
        <v>021-13</v>
      </c>
      <c r="W1" s="12" t="str">
        <f>'Task Durations'!X1</f>
        <v>022-13</v>
      </c>
      <c r="X1" s="12" t="str">
        <f>'Task Durations'!Y1</f>
        <v>023-13</v>
      </c>
      <c r="Y1" s="12" t="str">
        <f>'Task Durations'!Z1</f>
        <v>024-13</v>
      </c>
      <c r="Z1" s="12" t="str">
        <f>'Task Durations'!AA1</f>
        <v>026-13</v>
      </c>
      <c r="AA1" s="12" t="str">
        <f>'Task Durations'!AB1</f>
        <v>027-13</v>
      </c>
      <c r="AB1" s="12" t="str">
        <f>'Task Durations'!AC1</f>
        <v>028-13</v>
      </c>
      <c r="AC1" s="12" t="str">
        <f>'Task Durations'!AD1</f>
        <v>029-13</v>
      </c>
      <c r="AD1" s="12" t="str">
        <f>'Task Durations'!AE1</f>
        <v>030-13</v>
      </c>
      <c r="AE1" s="12" t="str">
        <f>'Task Durations'!AF1</f>
        <v>031-13</v>
      </c>
      <c r="AF1" s="12" t="str">
        <f>'Task Durations'!AG1</f>
        <v>032-13</v>
      </c>
      <c r="AG1" s="12" t="str">
        <f>'Task Durations'!AH1</f>
        <v>033-13</v>
      </c>
      <c r="AH1" s="12" t="str">
        <f>'Task Durations'!AI1</f>
        <v>034-13</v>
      </c>
      <c r="AI1" s="12" t="str">
        <f>'Task Durations'!AJ1</f>
        <v>035-13</v>
      </c>
      <c r="AJ1" s="12" t="str">
        <f>'Task Durations'!AK1</f>
        <v>036-13</v>
      </c>
      <c r="AK1" s="12" t="str">
        <f>'Task Durations'!AL1</f>
        <v>037-13</v>
      </c>
      <c r="AL1" s="12" t="str">
        <f>'Task Durations'!AM1</f>
        <v>038-13</v>
      </c>
      <c r="AM1" s="12" t="str">
        <f>'Task Durations'!AN1</f>
        <v>039-13</v>
      </c>
      <c r="AN1" s="12" t="str">
        <f>'Task Durations'!AO1</f>
        <v>040-13</v>
      </c>
      <c r="AO1" s="12" t="str">
        <f>'Task Durations'!AP1</f>
        <v>041-13</v>
      </c>
      <c r="AP1" s="12" t="str">
        <f>'Task Durations'!AQ1</f>
        <v>042-13</v>
      </c>
      <c r="AQ1" s="12" t="str">
        <f>'Task Durations'!AR1</f>
        <v>043-13</v>
      </c>
      <c r="AR1" s="12" t="str">
        <f>'Task Durations'!AS1</f>
        <v>045-13</v>
      </c>
      <c r="AS1" s="12" t="str">
        <f>'Task Durations'!AT1</f>
        <v>046-13</v>
      </c>
      <c r="AT1" s="12" t="str">
        <f>'Task Durations'!AU1</f>
        <v>047-13</v>
      </c>
      <c r="AU1" s="12" t="str">
        <f>'Task Durations'!AV1</f>
        <v>048-13</v>
      </c>
      <c r="AV1" s="12" t="str">
        <f>'Task Durations'!AW1</f>
        <v>049-13</v>
      </c>
      <c r="AW1" s="12" t="str">
        <f>'Task Durations'!AX1</f>
        <v>050-13</v>
      </c>
      <c r="AX1" s="12" t="str">
        <f>'Task Durations'!AY1</f>
        <v>052-13</v>
      </c>
      <c r="AY1" s="12" t="str">
        <f>'Task Durations'!AZ1</f>
        <v>053-13</v>
      </c>
      <c r="AZ1" s="12" t="str">
        <f>'Task Durations'!BA1</f>
        <v>054-13</v>
      </c>
      <c r="BA1" s="12" t="str">
        <f>'Task Durations'!BB1</f>
        <v>055-13</v>
      </c>
      <c r="BB1" s="12" t="str">
        <f>'Task Durations'!BC1</f>
        <v>057-13</v>
      </c>
      <c r="BC1" s="12" t="str">
        <f>'Task Durations'!BD1</f>
        <v>058-13</v>
      </c>
      <c r="BD1" s="12" t="str">
        <f>'Task Durations'!BE1</f>
        <v>059-13</v>
      </c>
      <c r="BE1" s="12" t="str">
        <f>'Task Durations'!BF1</f>
        <v>060-13</v>
      </c>
      <c r="BF1" s="12" t="str">
        <f>'Task Durations'!BG1</f>
        <v>061-13</v>
      </c>
      <c r="BG1" s="12" t="str">
        <f>'Task Durations'!BH1</f>
        <v>062-13</v>
      </c>
      <c r="BH1" s="12" t="str">
        <f>'Task Durations'!BI1</f>
        <v>063-13</v>
      </c>
      <c r="BI1" s="12" t="str">
        <f>'Task Durations'!BJ1</f>
        <v>064-13</v>
      </c>
      <c r="BJ1" s="12" t="str">
        <f>'Task Durations'!BK1</f>
        <v>065-13</v>
      </c>
      <c r="BK1" s="12" t="str">
        <f>'Task Durations'!BL1</f>
        <v>067-13</v>
      </c>
      <c r="BL1" s="12" t="str">
        <f>'Task Durations'!BM1</f>
        <v>068-13</v>
      </c>
      <c r="BM1" s="12" t="str">
        <f>'Task Durations'!BN1</f>
        <v>069-13</v>
      </c>
      <c r="BN1" s="12" t="str">
        <f>'Task Durations'!BO1</f>
        <v>070-13</v>
      </c>
      <c r="BO1" s="12" t="str">
        <f>'Task Durations'!BP1</f>
        <v>071-13</v>
      </c>
      <c r="BP1" s="12" t="str">
        <f>'Task Durations'!BQ1</f>
        <v>072-13</v>
      </c>
      <c r="BQ1" s="12" t="str">
        <f>'Task Durations'!BR1</f>
        <v>073-13</v>
      </c>
      <c r="BR1" s="12" t="str">
        <f>'Task Durations'!BS1</f>
        <v>074-13</v>
      </c>
      <c r="BS1" s="12" t="str">
        <f>'Task Durations'!BT1</f>
        <v>075-13</v>
      </c>
      <c r="BT1" s="12" t="str">
        <f>'Task Durations'!BU1</f>
        <v>076-13</v>
      </c>
      <c r="BU1" s="12" t="str">
        <f>'Task Durations'!BV1</f>
        <v>077-13</v>
      </c>
      <c r="BV1" s="12" t="str">
        <f>'Task Durations'!BW1</f>
        <v>078-13</v>
      </c>
      <c r="BW1" s="12" t="str">
        <f>'Task Durations'!BX1</f>
        <v>079-13</v>
      </c>
      <c r="BX1" s="12" t="str">
        <f>'Task Durations'!BY1</f>
        <v>080-13</v>
      </c>
      <c r="BY1" s="12" t="str">
        <f>'Task Durations'!BZ1</f>
        <v>081-13</v>
      </c>
      <c r="BZ1" s="12" t="str">
        <f>'Task Durations'!CA1</f>
        <v>082-13</v>
      </c>
      <c r="CA1" s="12" t="str">
        <f>'Task Durations'!CB1</f>
        <v>083-13</v>
      </c>
      <c r="CB1" s="12" t="str">
        <f>'Task Durations'!CC1</f>
        <v>084-13</v>
      </c>
      <c r="CC1" s="12" t="str">
        <f>'Task Durations'!CD1</f>
        <v>085-13</v>
      </c>
      <c r="CD1" s="12" t="str">
        <f>'Task Durations'!CE1</f>
        <v>086-13</v>
      </c>
      <c r="CE1" s="12" t="str">
        <f>'Task Durations'!CF1</f>
        <v>087-13</v>
      </c>
      <c r="CF1" s="12" t="str">
        <f>'Task Durations'!CG1</f>
        <v>088-13</v>
      </c>
      <c r="CG1" s="12" t="str">
        <f>'Task Durations'!CH1</f>
        <v>089-13</v>
      </c>
      <c r="CH1" s="12" t="str">
        <f>'Task Durations'!CI1</f>
        <v>090-13</v>
      </c>
      <c r="CI1" s="12" t="str">
        <f>'Task Durations'!CJ1</f>
        <v>091-13</v>
      </c>
      <c r="CJ1" s="12" t="str">
        <f>'Task Durations'!CK1</f>
        <v>092-13</v>
      </c>
      <c r="CK1" s="12" t="str">
        <f>'Task Durations'!CL1</f>
        <v>093-13</v>
      </c>
      <c r="CL1" s="12" t="str">
        <f>'Task Durations'!CM1</f>
        <v>094-13</v>
      </c>
      <c r="CM1" s="12"/>
      <c r="CN1" s="12"/>
      <c r="CO1" s="12"/>
      <c r="CP1" s="12"/>
      <c r="CQ1" s="12"/>
      <c r="CR1" s="12"/>
      <c r="CS1" s="12"/>
      <c r="CT1" s="12"/>
      <c r="CU1" s="12"/>
      <c r="CV1" s="12"/>
      <c r="CW1" s="12"/>
      <c r="CX1" s="12"/>
      <c r="CY1" s="12"/>
    </row>
    <row r="2" spans="1:103" x14ac:dyDescent="0.25">
      <c r="A2" s="345"/>
      <c r="B2" s="13" t="s">
        <v>11</v>
      </c>
      <c r="C2" s="14">
        <f>'Task Durations'!D9</f>
        <v>35000</v>
      </c>
      <c r="D2" s="14">
        <f>'Task Durations'!E9</f>
        <v>61000</v>
      </c>
      <c r="E2" s="14">
        <f>'Task Durations'!F9</f>
        <v>14000</v>
      </c>
      <c r="F2" s="14">
        <f>'Task Durations'!G9</f>
        <v>170000</v>
      </c>
      <c r="G2" s="14">
        <f>'Task Durations'!H9</f>
        <v>4750</v>
      </c>
      <c r="H2" s="14">
        <f>'Task Durations'!I9</f>
        <v>118000</v>
      </c>
      <c r="I2" s="14">
        <f>'Task Durations'!J9</f>
        <v>3880</v>
      </c>
      <c r="J2" s="14">
        <f>'Task Durations'!K9</f>
        <v>7000</v>
      </c>
      <c r="K2" s="14">
        <f>'Task Durations'!L9</f>
        <v>2400</v>
      </c>
      <c r="L2" s="14">
        <f>'Task Durations'!M9</f>
        <v>7764</v>
      </c>
      <c r="M2" s="14">
        <f>'Task Durations'!N9</f>
        <v>3450</v>
      </c>
      <c r="N2" s="14">
        <f>'Task Durations'!O9</f>
        <v>6000</v>
      </c>
      <c r="O2" s="14">
        <f>'Task Durations'!P9</f>
        <v>223200</v>
      </c>
      <c r="P2" s="14">
        <f>'Task Durations'!Q9</f>
        <v>45000</v>
      </c>
      <c r="Q2" s="14">
        <f>'Task Durations'!R9</f>
        <v>16000</v>
      </c>
      <c r="R2" s="14">
        <f>'Task Durations'!S9</f>
        <v>1000</v>
      </c>
      <c r="S2" s="14">
        <f>'Task Durations'!T9</f>
        <v>7000</v>
      </c>
      <c r="T2" s="14">
        <f>'Task Durations'!U9</f>
        <v>2500</v>
      </c>
      <c r="U2" s="14">
        <f>'Task Durations'!V9</f>
        <v>20000</v>
      </c>
      <c r="V2" s="14">
        <f>'Task Durations'!W9</f>
        <v>29568</v>
      </c>
      <c r="W2" s="14">
        <f>'Task Durations'!X9</f>
        <v>10000</v>
      </c>
      <c r="X2" s="14">
        <f>'Task Durations'!Y9</f>
        <v>566670</v>
      </c>
      <c r="Y2" s="14">
        <f>'Task Durations'!Z9</f>
        <v>500000</v>
      </c>
      <c r="Z2" s="14">
        <f>'Task Durations'!AA9</f>
        <v>3600</v>
      </c>
      <c r="AA2" s="14">
        <f>'Task Durations'!AB9</f>
        <v>11579</v>
      </c>
      <c r="AB2" s="14">
        <f>'Task Durations'!AC9</f>
        <v>3821</v>
      </c>
      <c r="AC2" s="14">
        <f>'Task Durations'!AD9</f>
        <v>3328</v>
      </c>
      <c r="AD2" s="14">
        <f>'Task Durations'!AE9</f>
        <v>268000</v>
      </c>
      <c r="AE2" s="14">
        <f>'Task Durations'!AF9</f>
        <v>121200</v>
      </c>
      <c r="AF2" s="14">
        <f>'Task Durations'!AG9</f>
        <v>524000</v>
      </c>
      <c r="AG2" s="14">
        <f>'Task Durations'!AH9</f>
        <v>3200</v>
      </c>
      <c r="AH2" s="14">
        <f>'Task Durations'!AI9</f>
        <v>300</v>
      </c>
      <c r="AI2" s="14">
        <f>'Task Durations'!AJ9</f>
        <v>143220</v>
      </c>
      <c r="AJ2" s="14">
        <f>'Task Durations'!AK9</f>
        <v>750000</v>
      </c>
      <c r="AK2" s="14">
        <f>'Task Durations'!AL9</f>
        <v>18500</v>
      </c>
      <c r="AL2" s="14">
        <f>'Task Durations'!AM9</f>
        <v>54000</v>
      </c>
      <c r="AM2" s="14">
        <f>'Task Durations'!AN9</f>
        <v>2850</v>
      </c>
      <c r="AN2" s="14">
        <f>'Task Durations'!AO9</f>
        <v>3225</v>
      </c>
      <c r="AO2" s="14">
        <f>'Task Durations'!AP9</f>
        <v>9800</v>
      </c>
      <c r="AP2" s="14">
        <f>'Task Durations'!AQ9</f>
        <v>27958</v>
      </c>
      <c r="AQ2" s="14">
        <f>'Task Durations'!AR9</f>
        <v>738038</v>
      </c>
      <c r="AR2" s="14">
        <f>'Task Durations'!AS9</f>
        <v>11000</v>
      </c>
      <c r="AS2" s="14">
        <f>'Task Durations'!AT9</f>
        <v>153395</v>
      </c>
      <c r="AT2" s="14">
        <f>'Task Durations'!AU9</f>
        <v>688202</v>
      </c>
      <c r="AU2" s="14">
        <f>'Task Durations'!AV9</f>
        <v>4000</v>
      </c>
      <c r="AV2" s="14">
        <f>'Task Durations'!AW9</f>
        <v>9200</v>
      </c>
      <c r="AW2" s="14">
        <f>'Task Durations'!AX9</f>
        <v>380489</v>
      </c>
      <c r="AX2" s="14">
        <f>'Task Durations'!AY9</f>
        <v>22000</v>
      </c>
      <c r="AY2" s="14">
        <f>'Task Durations'!AZ9</f>
        <v>474000</v>
      </c>
      <c r="AZ2" s="14">
        <f>'Task Durations'!BA9</f>
        <v>50000</v>
      </c>
      <c r="BA2" s="14">
        <f>'Task Durations'!BB9</f>
        <v>0</v>
      </c>
      <c r="BB2" s="14">
        <f>'Task Durations'!BC9</f>
        <v>50000</v>
      </c>
      <c r="BC2" s="14">
        <f>'Task Durations'!BD9</f>
        <v>50000</v>
      </c>
      <c r="BD2" s="14">
        <f>'Task Durations'!BE9</f>
        <v>750000</v>
      </c>
      <c r="BE2" s="14">
        <f>'Task Durations'!BF9</f>
        <v>750000</v>
      </c>
      <c r="BF2" s="14">
        <f>'Task Durations'!BG9</f>
        <v>4900</v>
      </c>
      <c r="BG2" s="14">
        <f>'Task Durations'!BH9</f>
        <v>6050</v>
      </c>
      <c r="BH2" s="14">
        <f>'Task Durations'!BI9</f>
        <v>5200</v>
      </c>
      <c r="BI2" s="14">
        <f>'Task Durations'!BJ9</f>
        <v>2750</v>
      </c>
      <c r="BJ2" s="14">
        <f>'Task Durations'!BK9</f>
        <v>3000</v>
      </c>
      <c r="BK2" s="14">
        <f>'Task Durations'!BL9</f>
        <v>117000</v>
      </c>
      <c r="BL2" s="14">
        <f>'Task Durations'!BM9</f>
        <v>12220</v>
      </c>
      <c r="BM2" s="14">
        <f>'Task Durations'!BN9</f>
        <v>4800</v>
      </c>
      <c r="BN2" s="14">
        <f>'Task Durations'!BO9</f>
        <v>8000</v>
      </c>
      <c r="BO2" s="14">
        <f>'Task Durations'!BP9</f>
        <v>928300</v>
      </c>
      <c r="BP2" s="14">
        <f>'Task Durations'!BQ9</f>
        <v>825000</v>
      </c>
      <c r="BQ2" s="14">
        <f>'Task Durations'!BR9</f>
        <v>800</v>
      </c>
      <c r="BR2" s="14">
        <f>'Task Durations'!BS9</f>
        <v>25792</v>
      </c>
      <c r="BS2" s="14">
        <f>'Task Durations'!BT9</f>
        <v>0</v>
      </c>
      <c r="BT2" s="14">
        <f>'Task Durations'!BU9</f>
        <v>320964</v>
      </c>
      <c r="BU2" s="14">
        <f>'Task Durations'!BV9</f>
        <v>10520</v>
      </c>
      <c r="BV2" s="14">
        <f>'Task Durations'!BW9</f>
        <v>15000</v>
      </c>
      <c r="BW2" s="14">
        <f>'Task Durations'!BX9</f>
        <v>8860</v>
      </c>
      <c r="BX2" s="14">
        <f>'Task Durations'!BY9</f>
        <v>7021</v>
      </c>
      <c r="BY2" s="14">
        <f>'Task Durations'!BZ9</f>
        <v>40000</v>
      </c>
      <c r="BZ2" s="14">
        <f>'Task Durations'!CA9</f>
        <v>5000</v>
      </c>
      <c r="CA2" s="14">
        <f>'Task Durations'!CB9</f>
        <v>3000</v>
      </c>
      <c r="CB2" s="14">
        <f>'Task Durations'!CC9</f>
        <v>15000</v>
      </c>
      <c r="CC2" s="14">
        <f>'Task Durations'!CD9</f>
        <v>154000</v>
      </c>
      <c r="CD2" s="14">
        <f>'Task Durations'!CE9</f>
        <v>245000</v>
      </c>
      <c r="CE2" s="14">
        <f>'Task Durations'!CF9</f>
        <v>3631</v>
      </c>
      <c r="CF2" s="14">
        <f>'Task Durations'!CG9</f>
        <v>38900</v>
      </c>
      <c r="CG2" s="14">
        <f>'Task Durations'!CH9</f>
        <v>11000</v>
      </c>
      <c r="CH2" s="14">
        <f>'Task Durations'!CI9</f>
        <v>33000</v>
      </c>
      <c r="CI2" s="14">
        <f>'Task Durations'!CJ9</f>
        <v>3000</v>
      </c>
      <c r="CJ2" s="14">
        <f>'Task Durations'!CK9</f>
        <v>1800</v>
      </c>
      <c r="CK2" s="14">
        <f>'Task Durations'!CL9</f>
        <v>20000</v>
      </c>
      <c r="CL2" s="14">
        <f>'Task Durations'!CM9</f>
        <v>6935</v>
      </c>
      <c r="CM2" s="14"/>
      <c r="CN2" s="14"/>
      <c r="CO2" s="14"/>
      <c r="CP2" s="14"/>
      <c r="CQ2" s="14"/>
      <c r="CR2" s="14"/>
      <c r="CS2" s="14"/>
      <c r="CT2" s="14"/>
      <c r="CU2" s="14"/>
      <c r="CV2" s="14"/>
      <c r="CW2" s="14"/>
      <c r="CX2" s="14"/>
      <c r="CY2" s="14"/>
    </row>
    <row r="3" spans="1:103" x14ac:dyDescent="0.25">
      <c r="A3" s="345"/>
      <c r="B3" s="1" t="s">
        <v>7</v>
      </c>
      <c r="C3" s="9">
        <f>SUMIF('Task Durations'!$C$10:$C$34, "Direct",'Task Durations'!D10:D34)</f>
        <v>40.016666666666666</v>
      </c>
      <c r="D3" s="9">
        <f>SUMIF('Task Durations'!$C$10:$C$34, "Direct",'Task Durations'!E10:E34)</f>
        <v>38.899000000000008</v>
      </c>
      <c r="E3" s="9">
        <f>SUMIF('Task Durations'!$C$10:$C$34, "Direct",'Task Durations'!F10:F34)</f>
        <v>32.733333333333334</v>
      </c>
      <c r="F3" s="9">
        <f>SUMIF('Task Durations'!$C$10:$C$34, "Direct",'Task Durations'!G10:G34)</f>
        <v>26.717999999999993</v>
      </c>
      <c r="G3" s="9">
        <f>SUMIF('Task Durations'!$C$10:$C$34, "Direct",'Task Durations'!H10:H34)</f>
        <v>25.465999999999998</v>
      </c>
      <c r="H3" s="9">
        <f>SUMIF('Task Durations'!$C$10:$C$34, "Direct",'Task Durations'!I10:I34)</f>
        <v>24.65</v>
      </c>
      <c r="I3" s="9">
        <f>SUMIF('Task Durations'!$C$10:$C$34, "Direct",'Task Durations'!J10:J34)</f>
        <v>57.766666666666666</v>
      </c>
      <c r="J3" s="9">
        <f>SUMIF('Task Durations'!$C$10:$C$34, "Direct",'Task Durations'!K10:K34)</f>
        <v>44.332999999999998</v>
      </c>
      <c r="K3" s="9">
        <f>SUMIF('Task Durations'!$C$10:$C$34, "Direct",'Task Durations'!L10:L34)</f>
        <v>29.419</v>
      </c>
      <c r="L3" s="9">
        <f>SUMIF('Task Durations'!$C$10:$C$34, "Direct",'Task Durations'!M10:M34)</f>
        <v>41.783000000000001</v>
      </c>
      <c r="M3" s="9">
        <f>SUMIF('Task Durations'!$C$10:$C$34, "Direct",'Task Durations'!N10:N34)</f>
        <v>36.5837</v>
      </c>
      <c r="N3" s="9">
        <f>SUMIF('Task Durations'!$C$10:$C$34, "Direct",'Task Durations'!O10:O34)</f>
        <v>24.417000000000002</v>
      </c>
      <c r="O3" s="9">
        <f>SUMIF('Task Durations'!$C$10:$C$34, "Direct",'Task Durations'!P10:P34)</f>
        <v>42.265999999999998</v>
      </c>
      <c r="P3" s="9">
        <f>SUMIF('Task Durations'!$C$10:$C$34, "Direct",'Task Durations'!Q10:Q34)</f>
        <v>48.048999999999992</v>
      </c>
      <c r="Q3" s="9">
        <f>SUMIF('Task Durations'!$C$10:$C$34, "Direct",'Task Durations'!R10:R34)</f>
        <v>15.75</v>
      </c>
      <c r="R3" s="9">
        <f>SUMIF('Task Durations'!$C$10:$C$34, "Direct",'Task Durations'!S10:S34)</f>
        <v>19.420999999999999</v>
      </c>
      <c r="S3" s="9">
        <f>SUMIF('Task Durations'!$C$10:$C$34, "Direct",'Task Durations'!T10:T34)</f>
        <v>35.667000000000002</v>
      </c>
      <c r="T3" s="9">
        <f>SUMIF('Task Durations'!$C$10:$C$34, "Direct",'Task Durations'!U10:U34)</f>
        <v>40.149700000000003</v>
      </c>
      <c r="U3" s="9">
        <f>SUMIF('Task Durations'!$C$10:$C$34, "Direct",'Task Durations'!V10:V34)</f>
        <v>62.499000000000009</v>
      </c>
      <c r="V3" s="9">
        <f>SUMIF('Task Durations'!$C$10:$C$34, "Direct",'Task Durations'!W10:W34)</f>
        <v>31.766300000000001</v>
      </c>
      <c r="W3" s="9">
        <f>SUMIF('Task Durations'!$C$10:$C$34, "Direct",'Task Durations'!X10:X34)</f>
        <v>32.850300000000004</v>
      </c>
      <c r="X3" s="9">
        <f>SUMIF('Task Durations'!$C$10:$C$34, "Direct",'Task Durations'!Y10:Y34)</f>
        <v>51.498699999999999</v>
      </c>
      <c r="Y3" s="9">
        <f>SUMIF('Task Durations'!$C$10:$C$34, "Direct",'Task Durations'!Z10:Z34)</f>
        <v>27.980000000000004</v>
      </c>
      <c r="Z3" s="9">
        <f>SUMIF('Task Durations'!$C$10:$C$34, "Direct",'Task Durations'!AA10:AA34)</f>
        <v>15.433</v>
      </c>
      <c r="AA3" s="9">
        <f>SUMIF('Task Durations'!$C$10:$C$34, "Direct",'Task Durations'!AB10:AB34)</f>
        <v>53.549700000000001</v>
      </c>
      <c r="AB3" s="9">
        <f>SUMIF('Task Durations'!$C$10:$C$34, "Direct",'Task Durations'!AC10:AC34)</f>
        <v>27.739000000000001</v>
      </c>
      <c r="AC3" s="9">
        <f>SUMIF('Task Durations'!$C$10:$C$34, "Direct",'Task Durations'!AD10:AD34)</f>
        <v>23.023300000000003</v>
      </c>
      <c r="AD3" s="9">
        <f>SUMIF('Task Durations'!$C$10:$C$34, "Direct",'Task Durations'!AE10:AE34)</f>
        <v>43.187000000000005</v>
      </c>
      <c r="AE3" s="9">
        <f>SUMIF('Task Durations'!$C$10:$C$34, "Direct",'Task Durations'!AF10:AF34)</f>
        <v>41.3504</v>
      </c>
      <c r="AF3" s="9">
        <f>SUMIF('Task Durations'!$C$10:$C$34, "Direct",'Task Durations'!AG10:AG34)</f>
        <v>28.849000000000004</v>
      </c>
      <c r="AG3" s="9">
        <f>SUMIF('Task Durations'!$C$10:$C$34, "Direct",'Task Durations'!AH10:AH34)</f>
        <v>29.700000000000003</v>
      </c>
      <c r="AH3" s="9">
        <f>SUMIF('Task Durations'!$C$10:$C$34, "Direct",'Task Durations'!AI10:AI34)</f>
        <v>43.500700000000002</v>
      </c>
      <c r="AI3" s="9">
        <f>SUMIF('Task Durations'!$C$10:$C$34, "Direct",'Task Durations'!AJ10:AJ34)</f>
        <v>41.670999999999999</v>
      </c>
      <c r="AJ3" s="9">
        <f>SUMIF('Task Durations'!$C$10:$C$34, "Direct",'Task Durations'!AK10:AK34)</f>
        <v>35.482999999999997</v>
      </c>
      <c r="AK3" s="9">
        <f>SUMIF('Task Durations'!$C$10:$C$34, "Direct",'Task Durations'!AL10:AL34)</f>
        <v>52.750999999999998</v>
      </c>
      <c r="AL3" s="9">
        <f>SUMIF('Task Durations'!$C$10:$C$34, "Direct",'Task Durations'!AM10:AM34)</f>
        <v>36.750000000000007</v>
      </c>
      <c r="AM3" s="9">
        <f>SUMIF('Task Durations'!$C$10:$C$34, "Direct",'Task Durations'!AN10:AN34)</f>
        <v>39.349999999999994</v>
      </c>
      <c r="AN3" s="9">
        <f>SUMIF('Task Durations'!$C$10:$C$34, "Direct",'Task Durations'!AO10:AO34)</f>
        <v>40.414999999999999</v>
      </c>
      <c r="AO3" s="9">
        <f>SUMIF('Task Durations'!$C$10:$C$34, "Direct",'Task Durations'!AP10:AP34)</f>
        <v>33.766000000000005</v>
      </c>
      <c r="AP3" s="9">
        <f>SUMIF('Task Durations'!$C$10:$C$34, "Direct",'Task Durations'!AQ10:AQ34)</f>
        <v>22.016399999999997</v>
      </c>
      <c r="AQ3" s="9">
        <f>SUMIF('Task Durations'!$C$10:$C$34, "Direct",'Task Durations'!AR10:AR34)</f>
        <v>30.051000000000002</v>
      </c>
      <c r="AR3" s="9">
        <f>SUMIF('Task Durations'!$C$10:$C$34, "Direct",'Task Durations'!AS10:AS34)</f>
        <v>59.820500000000003</v>
      </c>
      <c r="AS3" s="9">
        <f>SUMIF('Task Durations'!$C$10:$C$34, "Direct",'Task Durations'!AT10:AT34)</f>
        <v>38.116999999999997</v>
      </c>
      <c r="AT3" s="9">
        <f>SUMIF('Task Durations'!$C$10:$C$34, "Direct",'Task Durations'!AU10:AU34)</f>
        <v>32.9</v>
      </c>
      <c r="AU3" s="9">
        <f>SUMIF('Task Durations'!$C$10:$C$34, "Direct",'Task Durations'!AV10:AV34)</f>
        <v>20.515999999999998</v>
      </c>
      <c r="AV3" s="9">
        <f>SUMIF('Task Durations'!$C$10:$C$34, "Direct",'Task Durations'!AW10:AW34)</f>
        <v>51.100299999999997</v>
      </c>
      <c r="AW3" s="9">
        <f>SUMIF('Task Durations'!$C$10:$C$34, "Direct",'Task Durations'!AX10:AX34)</f>
        <v>61.084000000000003</v>
      </c>
      <c r="AX3" s="9">
        <f>SUMIF('Task Durations'!$C$10:$C$34, "Direct",'Task Durations'!AY10:AY34)</f>
        <v>26.166</v>
      </c>
      <c r="AY3" s="9">
        <f>SUMIF('Task Durations'!$C$10:$C$34, "Direct",'Task Durations'!AZ10:AZ34)</f>
        <v>46.199700000000007</v>
      </c>
      <c r="AZ3" s="9">
        <f>SUMIF('Task Durations'!$C$10:$C$34, "Direct",'Task Durations'!BA10:BA34)</f>
        <v>57.5336</v>
      </c>
      <c r="BA3" s="9">
        <f>SUMIF('Task Durations'!$C$10:$C$34, "Direct",'Task Durations'!BB10:BB34)</f>
        <v>20.882999999999999</v>
      </c>
      <c r="BB3" s="9">
        <f>SUMIF('Task Durations'!$C$10:$C$34, "Direct",'Task Durations'!BC10:BC34)</f>
        <v>42.416000000000004</v>
      </c>
      <c r="BC3" s="9">
        <f>SUMIF('Task Durations'!$C$10:$C$34, "Direct",'Task Durations'!BD10:BD34)</f>
        <v>41.515999999999998</v>
      </c>
      <c r="BD3" s="9">
        <f>SUMIF('Task Durations'!$C$10:$C$34, "Direct",'Task Durations'!BE10:BE34)</f>
        <v>29.432299999999998</v>
      </c>
      <c r="BE3" s="9">
        <f>SUMIF('Task Durations'!$C$10:$C$34, "Direct",'Task Durations'!BF10:BF34)</f>
        <v>29.467000000000002</v>
      </c>
      <c r="BF3" s="9">
        <f>SUMIF('Task Durations'!$C$10:$C$34, "Direct",'Task Durations'!BG10:BG34)</f>
        <v>34.645199999999996</v>
      </c>
      <c r="BG3" s="9">
        <f>SUMIF('Task Durations'!$C$10:$C$34, "Direct",'Task Durations'!BH10:BH34)</f>
        <v>36.266299999999994</v>
      </c>
      <c r="BH3" s="9">
        <f>SUMIF('Task Durations'!$C$10:$C$34, "Direct",'Task Durations'!BI10:BI34)</f>
        <v>19.541999999999998</v>
      </c>
      <c r="BI3" s="9">
        <f>SUMIF('Task Durations'!$C$10:$C$34, "Direct",'Task Durations'!BJ10:BJ34)</f>
        <v>25.966999999999999</v>
      </c>
      <c r="BJ3" s="9">
        <f>SUMIF('Task Durations'!$C$10:$C$34, "Direct",'Task Durations'!BK10:BK34)</f>
        <v>13.1</v>
      </c>
      <c r="BK3" s="9">
        <f>SUMIF('Task Durations'!$C$10:$C$34, "Direct",'Task Durations'!BL10:BL34)</f>
        <v>37.509300000000003</v>
      </c>
      <c r="BL3" s="9">
        <f>SUMIF('Task Durations'!$C$10:$C$34, "Direct",'Task Durations'!BM10:BM34)</f>
        <v>19.549299999999999</v>
      </c>
      <c r="BM3" s="9">
        <f>SUMIF('Task Durations'!$C$10:$C$34, "Direct",'Task Durations'!BN10:BN34)</f>
        <v>31.0717</v>
      </c>
      <c r="BN3" s="9">
        <f>SUMIF('Task Durations'!$C$10:$C$34, "Direct",'Task Durations'!BO10:BO34)</f>
        <v>28.6493</v>
      </c>
      <c r="BO3" s="9">
        <f>SUMIF('Task Durations'!$C$10:$C$34, "Direct",'Task Durations'!BP10:BP34)</f>
        <v>60.104999999999997</v>
      </c>
      <c r="BP3" s="9">
        <f>SUMIF('Task Durations'!$C$10:$C$34, "Direct",'Task Durations'!BQ10:BQ34)</f>
        <v>21.351000000000003</v>
      </c>
      <c r="BQ3" s="9">
        <f>SUMIF('Task Durations'!$C$10:$C$34, "Direct",'Task Durations'!BR10:BR34)</f>
        <v>33.483700000000006</v>
      </c>
      <c r="BR3" s="9">
        <f>SUMIF('Task Durations'!$C$10:$C$34, "Direct",'Task Durations'!BS10:BS34)</f>
        <v>46.535999999999994</v>
      </c>
      <c r="BS3" s="9">
        <f>SUMIF('Task Durations'!$C$10:$C$34, "Direct",'Task Durations'!BT10:BT34)</f>
        <v>46.982999999999997</v>
      </c>
      <c r="BT3" s="9">
        <f>SUMIF('Task Durations'!$C$10:$C$34, "Direct",'Task Durations'!BU10:BU34)</f>
        <v>64.816300000000012</v>
      </c>
      <c r="BU3" s="9">
        <f>SUMIF('Task Durations'!$C$10:$C$34, "Direct",'Task Durations'!BV10:BV34)</f>
        <v>45.216999999999999</v>
      </c>
      <c r="BV3" s="9">
        <f>SUMIF('Task Durations'!$C$10:$C$34, "Direct",'Task Durations'!BW10:BW34)</f>
        <v>46.216999999999992</v>
      </c>
      <c r="BW3" s="9">
        <f>SUMIF('Task Durations'!$C$10:$C$34, "Direct",'Task Durations'!BX10:BX34)</f>
        <v>15.716700000000001</v>
      </c>
      <c r="BX3" s="9">
        <f>SUMIF('Task Durations'!$C$10:$C$34, "Direct",'Task Durations'!BY10:BY34)</f>
        <v>8.3333000000000013</v>
      </c>
      <c r="BY3" s="9">
        <f>SUMIF('Task Durations'!$C$10:$C$34, "Direct",'Task Durations'!BZ10:BZ34)</f>
        <v>32.732700000000001</v>
      </c>
      <c r="BZ3" s="9">
        <f>SUMIF('Task Durations'!$C$10:$C$34, "Direct",'Task Durations'!CA10:CA34)</f>
        <v>6.2006999999999994</v>
      </c>
      <c r="CA3" s="9">
        <f>SUMIF('Task Durations'!$C$10:$C$34, "Direct",'Task Durations'!CB10:CB34)</f>
        <v>48.466999999999999</v>
      </c>
      <c r="CB3" s="9">
        <f>SUMIF('Task Durations'!$C$10:$C$34, "Direct",'Task Durations'!CC10:CC34)</f>
        <v>39.884000000000007</v>
      </c>
      <c r="CC3" s="9">
        <f>SUMIF('Task Durations'!$C$10:$C$34, "Direct",'Task Durations'!CD10:CD34)</f>
        <v>39.701999999999998</v>
      </c>
      <c r="CD3" s="9">
        <f>SUMIF('Task Durations'!$C$10:$C$34, "Direct",'Task Durations'!CE10:CE34)</f>
        <v>8.85</v>
      </c>
      <c r="CE3" s="9">
        <f>SUMIF('Task Durations'!$C$10:$C$34, "Direct",'Task Durations'!CF10:CF34)</f>
        <v>18.533000000000001</v>
      </c>
      <c r="CF3" s="9">
        <f>SUMIF('Task Durations'!$C$10:$C$34, "Direct",'Task Durations'!CG10:CG34)</f>
        <v>48.633299999999998</v>
      </c>
      <c r="CG3" s="9">
        <f>SUMIF('Task Durations'!$C$10:$C$34, "Direct",'Task Durations'!CH10:CH34)</f>
        <v>27.3</v>
      </c>
      <c r="CH3" s="9">
        <f>SUMIF('Task Durations'!$C$10:$C$34, "Direct",'Task Durations'!CI10:CI34)</f>
        <v>63</v>
      </c>
      <c r="CI3" s="9">
        <f>SUMIF('Task Durations'!$C$10:$C$34, "Direct",'Task Durations'!CJ10:CJ34)</f>
        <v>30.383000000000003</v>
      </c>
      <c r="CJ3" s="9">
        <f>SUMIF('Task Durations'!$C$10:$C$34, "Direct",'Task Durations'!CK10:CK34)</f>
        <v>52.516999999999996</v>
      </c>
      <c r="CK3" s="9">
        <f>SUMIF('Task Durations'!$C$10:$C$34, "Direct",'Task Durations'!CL10:CL34)</f>
        <v>67.398499999999999</v>
      </c>
      <c r="CL3" s="9">
        <f>SUMIF('Task Durations'!$C$10:$C$34, "Direct",'Task Durations'!CM10:CM34)</f>
        <v>33.482999999999997</v>
      </c>
      <c r="CM3" s="9"/>
      <c r="CN3" s="9"/>
      <c r="CO3" s="9"/>
      <c r="CP3" s="9"/>
      <c r="CQ3" s="9"/>
      <c r="CR3" s="9"/>
      <c r="CS3" s="9"/>
      <c r="CT3" s="9"/>
      <c r="CU3" s="9"/>
      <c r="CV3" s="9"/>
      <c r="CW3" s="9"/>
      <c r="CX3" s="9"/>
      <c r="CY3" s="9"/>
    </row>
    <row r="4" spans="1:103" x14ac:dyDescent="0.25">
      <c r="A4" s="345"/>
      <c r="B4" s="1" t="s">
        <v>8</v>
      </c>
      <c r="C4" s="9">
        <f>SUMIF('Task Durations'!$C$10:$C$34, "Indirect",'Task Durations'!D10:D34)</f>
        <v>21.25</v>
      </c>
      <c r="D4" s="9">
        <f>SUMIF('Task Durations'!$C$10:$C$34, "Indirect",'Task Durations'!E10:E34)</f>
        <v>17.266999999999996</v>
      </c>
      <c r="E4" s="9">
        <f>SUMIF('Task Durations'!$C$10:$C$34, "Indirect",'Task Durations'!F10:F34)</f>
        <v>37.800000000000004</v>
      </c>
      <c r="F4" s="9">
        <f>SUMIF('Task Durations'!$C$10:$C$34, "Indirect",'Task Durations'!G10:G34)</f>
        <v>22.699999999999996</v>
      </c>
      <c r="G4" s="9">
        <f>SUMIF('Task Durations'!$C$10:$C$34, "Indirect",'Task Durations'!H10:H34)</f>
        <v>17.683</v>
      </c>
      <c r="H4" s="9">
        <f>SUMIF('Task Durations'!$C$10:$C$34, "Indirect",'Task Durations'!I10:I34)</f>
        <v>21.816666666666666</v>
      </c>
      <c r="I4" s="9">
        <f>SUMIF('Task Durations'!$C$10:$C$34, "Indirect",'Task Durations'!J10:J34)</f>
        <v>17.95</v>
      </c>
      <c r="J4" s="9">
        <f>SUMIF('Task Durations'!$C$10:$C$34, "Indirect",'Task Durations'!K10:K34)</f>
        <v>29.099999999999998</v>
      </c>
      <c r="K4" s="9">
        <f>SUMIF('Task Durations'!$C$10:$C$34, "Indirect",'Task Durations'!L10:L34)</f>
        <v>18.364799999999999</v>
      </c>
      <c r="L4" s="9">
        <f>SUMIF('Task Durations'!$C$10:$C$34, "Indirect",'Task Durations'!M10:M34)</f>
        <v>38.783000000000001</v>
      </c>
      <c r="M4" s="9">
        <f>SUMIF('Task Durations'!$C$10:$C$34, "Indirect",'Task Durations'!N10:N34)</f>
        <v>27.867000000000001</v>
      </c>
      <c r="N4" s="9">
        <f>SUMIF('Task Durations'!$C$10:$C$34, "Indirect",'Task Durations'!O10:O34)</f>
        <v>27.299999999999997</v>
      </c>
      <c r="O4" s="9">
        <f>SUMIF('Task Durations'!$C$10:$C$34, "Indirect",'Task Durations'!P10:P34)</f>
        <v>12.533999999999999</v>
      </c>
      <c r="P4" s="9">
        <f>SUMIF('Task Durations'!$C$10:$C$34, "Indirect",'Task Durations'!Q10:Q34)</f>
        <v>28.850999999999999</v>
      </c>
      <c r="Q4" s="9">
        <f>SUMIF('Task Durations'!$C$10:$C$34, "Indirect",'Task Durations'!R10:R34)</f>
        <v>19.249299999999998</v>
      </c>
      <c r="R4" s="9">
        <f>SUMIF('Task Durations'!$C$10:$C$34, "Indirect",'Task Durations'!S10:S34)</f>
        <v>14.064499999999999</v>
      </c>
      <c r="S4" s="9">
        <f>SUMIF('Task Durations'!$C$10:$C$34, "Indirect",'Task Durations'!T10:T34)</f>
        <v>26.050999999999998</v>
      </c>
      <c r="T4" s="9">
        <f>SUMIF('Task Durations'!$C$10:$C$34, "Indirect",'Task Durations'!U10:U34)</f>
        <v>27.166999999999998</v>
      </c>
      <c r="U4" s="9">
        <f>SUMIF('Task Durations'!$C$10:$C$34, "Indirect",'Task Durations'!V10:V34)</f>
        <v>35.849999999999994</v>
      </c>
      <c r="V4" s="9">
        <f>SUMIF('Task Durations'!$C$10:$C$34, "Indirect",'Task Durations'!W10:W34)</f>
        <v>14.600000000000001</v>
      </c>
      <c r="W4" s="9">
        <f>SUMIF('Task Durations'!$C$10:$C$34, "Indirect",'Task Durations'!X10:X34)</f>
        <v>21.95</v>
      </c>
      <c r="X4" s="9">
        <f>SUMIF('Task Durations'!$C$10:$C$34, "Indirect",'Task Durations'!Y10:Y34)</f>
        <v>18.533000000000001</v>
      </c>
      <c r="Y4" s="9">
        <f>SUMIF('Task Durations'!$C$10:$C$34, "Indirect",'Task Durations'!Z10:Z34)</f>
        <v>16.400000000000002</v>
      </c>
      <c r="Z4" s="9">
        <f>SUMIF('Task Durations'!$C$10:$C$34, "Indirect",'Task Durations'!AA10:AA34)</f>
        <v>31.1</v>
      </c>
      <c r="AA4" s="9">
        <f>SUMIF('Task Durations'!$C$10:$C$34, "Indirect",'Task Durations'!AB10:AB34)</f>
        <v>16.967300000000002</v>
      </c>
      <c r="AB4" s="9">
        <f>SUMIF('Task Durations'!$C$10:$C$34, "Indirect",'Task Durations'!AC10:AC34)</f>
        <v>13.353499999999999</v>
      </c>
      <c r="AC4" s="9">
        <f>SUMIF('Task Durations'!$C$10:$C$34, "Indirect",'Task Durations'!AD10:AD34)</f>
        <v>13.178000000000001</v>
      </c>
      <c r="AD4" s="9">
        <f>SUMIF('Task Durations'!$C$10:$C$34, "Indirect",'Task Durations'!AE10:AE34)</f>
        <v>20.265999999999998</v>
      </c>
      <c r="AE4" s="9">
        <f>SUMIF('Task Durations'!$C$10:$C$34, "Indirect",'Task Durations'!AF10:AF34)</f>
        <v>16.150300000000001</v>
      </c>
      <c r="AF4" s="9">
        <f>SUMIF('Task Durations'!$C$10:$C$34, "Indirect",'Task Durations'!AG10:AG34)</f>
        <v>28.183299999999999</v>
      </c>
      <c r="AG4" s="9">
        <f>SUMIF('Task Durations'!$C$10:$C$34, "Indirect",'Task Durations'!AH10:AH34)</f>
        <v>20.2163</v>
      </c>
      <c r="AH4" s="9">
        <f>SUMIF('Task Durations'!$C$10:$C$34, "Indirect",'Task Durations'!AI10:AI34)</f>
        <v>21.300000000000004</v>
      </c>
      <c r="AI4" s="9">
        <f>SUMIF('Task Durations'!$C$10:$C$34, "Indirect",'Task Durations'!AJ10:AJ34)</f>
        <v>23.132999999999999</v>
      </c>
      <c r="AJ4" s="9">
        <f>SUMIF('Task Durations'!$C$10:$C$34, "Indirect",'Task Durations'!AK10:AK34)</f>
        <v>29.082999999999998</v>
      </c>
      <c r="AK4" s="9">
        <f>SUMIF('Task Durations'!$C$10:$C$34, "Indirect",'Task Durations'!AL10:AL34)</f>
        <v>27.716999999999999</v>
      </c>
      <c r="AL4" s="9">
        <f>SUMIF('Task Durations'!$C$10:$C$34, "Indirect",'Task Durations'!AM10:AM34)</f>
        <v>12.149999999999999</v>
      </c>
      <c r="AM4" s="9">
        <f>SUMIF('Task Durations'!$C$10:$C$34, "Indirect",'Task Durations'!AN10:AN34)</f>
        <v>31.971999999999998</v>
      </c>
      <c r="AN4" s="9">
        <f>SUMIF('Task Durations'!$C$10:$C$34, "Indirect",'Task Durations'!AO10:AO34)</f>
        <v>30.716300000000004</v>
      </c>
      <c r="AO4" s="9">
        <f>SUMIF('Task Durations'!$C$10:$C$34, "Indirect",'Task Durations'!AP10:AP34)</f>
        <v>27.817</v>
      </c>
      <c r="AP4" s="9">
        <f>SUMIF('Task Durations'!$C$10:$C$34, "Indirect",'Task Durations'!AQ10:AQ34)</f>
        <v>24.167000000000002</v>
      </c>
      <c r="AQ4" s="9">
        <f>SUMIF('Task Durations'!$C$10:$C$34, "Indirect",'Task Durations'!AR10:AR34)</f>
        <v>11.967000000000002</v>
      </c>
      <c r="AR4" s="9">
        <f>SUMIF('Task Durations'!$C$10:$C$34, "Indirect",'Task Durations'!AS10:AS34)</f>
        <v>19.408999999999999</v>
      </c>
      <c r="AS4" s="9">
        <f>SUMIF('Task Durations'!$C$10:$C$34, "Indirect",'Task Durations'!AT10:AT34)</f>
        <v>16.032999999999998</v>
      </c>
      <c r="AT4" s="9">
        <f>SUMIF('Task Durations'!$C$10:$C$34, "Indirect",'Task Durations'!AU10:AU34)</f>
        <v>22.683</v>
      </c>
      <c r="AU4" s="9">
        <f>SUMIF('Task Durations'!$C$10:$C$34, "Indirect",'Task Durations'!AV10:AV34)</f>
        <v>34.224299999999999</v>
      </c>
      <c r="AV4" s="9">
        <f>SUMIF('Task Durations'!$C$10:$C$34, "Indirect",'Task Durations'!AW10:AW34)</f>
        <v>30.300999999999998</v>
      </c>
      <c r="AW4" s="9">
        <f>SUMIF('Task Durations'!$C$10:$C$34, "Indirect",'Task Durations'!AX10:AX34)</f>
        <v>18</v>
      </c>
      <c r="AX4" s="9">
        <f>SUMIF('Task Durations'!$C$10:$C$34, "Indirect",'Task Durations'!AY10:AY34)</f>
        <v>17.233000000000001</v>
      </c>
      <c r="AY4" s="9">
        <f>SUMIF('Task Durations'!$C$10:$C$34, "Indirect",'Task Durations'!AZ10:AZ34)</f>
        <v>15.481999999999999</v>
      </c>
      <c r="AZ4" s="9">
        <f>SUMIF('Task Durations'!$C$10:$C$34, "Indirect",'Task Durations'!BA10:BA34)</f>
        <v>19.165699999999998</v>
      </c>
      <c r="BA4" s="9">
        <f>SUMIF('Task Durations'!$C$10:$C$34, "Indirect",'Task Durations'!BB10:BB34)</f>
        <v>26.967000000000006</v>
      </c>
      <c r="BB4" s="9">
        <f>SUMIF('Task Durations'!$C$10:$C$34, "Indirect",'Task Durations'!BC10:BC34)</f>
        <v>19.5167</v>
      </c>
      <c r="BC4" s="9">
        <f>SUMIF('Task Durations'!$C$10:$C$34, "Indirect",'Task Durations'!BD10:BD34)</f>
        <v>20.049999999999997</v>
      </c>
      <c r="BD4" s="9">
        <f>SUMIF('Task Durations'!$C$10:$C$34, "Indirect",'Task Durations'!BE10:BE34)</f>
        <v>26.700299999999999</v>
      </c>
      <c r="BE4" s="9">
        <f>SUMIF('Task Durations'!$C$10:$C$34, "Indirect",'Task Durations'!BF10:BF34)</f>
        <v>18.183</v>
      </c>
      <c r="BF4" s="9">
        <f>SUMIF('Task Durations'!$C$10:$C$34, "Indirect",'Task Durations'!BG10:BG34)</f>
        <v>19.497999999999998</v>
      </c>
      <c r="BG4" s="9">
        <f>SUMIF('Task Durations'!$C$10:$C$34, "Indirect",'Task Durations'!BH10:BH34)</f>
        <v>18.0337</v>
      </c>
      <c r="BH4" s="9">
        <f>SUMIF('Task Durations'!$C$10:$C$34, "Indirect",'Task Durations'!BI10:BI34)</f>
        <v>16.351300000000002</v>
      </c>
      <c r="BI4" s="9">
        <f>SUMIF('Task Durations'!$C$10:$C$34, "Indirect",'Task Durations'!BJ10:BJ34)</f>
        <v>26.85</v>
      </c>
      <c r="BJ4" s="9">
        <f>SUMIF('Task Durations'!$C$10:$C$34, "Indirect",'Task Durations'!BK10:BK34)</f>
        <v>12.082999999999998</v>
      </c>
      <c r="BK4" s="9">
        <f>SUMIF('Task Durations'!$C$10:$C$34, "Indirect",'Task Durations'!BL10:BL34)</f>
        <v>23.386199999999999</v>
      </c>
      <c r="BL4" s="9">
        <f>SUMIF('Task Durations'!$C$10:$C$34, "Indirect",'Task Durations'!BM10:BM34)</f>
        <v>9.7840000000000007</v>
      </c>
      <c r="BM4" s="9">
        <f>SUMIF('Task Durations'!$C$10:$C$34, "Indirect",'Task Durations'!BN10:BN34)</f>
        <v>42.033999999999999</v>
      </c>
      <c r="BN4" s="9">
        <f>SUMIF('Task Durations'!$C$10:$C$34, "Indirect",'Task Durations'!BO10:BO34)</f>
        <v>29.367000000000001</v>
      </c>
      <c r="BO4" s="9">
        <f>SUMIF('Task Durations'!$C$10:$C$34, "Indirect",'Task Durations'!BP10:BP34)</f>
        <v>33.742000000000004</v>
      </c>
      <c r="BP4" s="9">
        <f>SUMIF('Task Durations'!$C$10:$C$34, "Indirect",'Task Durations'!BQ10:BQ34)</f>
        <v>15.649000000000001</v>
      </c>
      <c r="BQ4" s="9">
        <f>SUMIF('Task Durations'!$C$10:$C$34, "Indirect",'Task Durations'!BR10:BR34)</f>
        <v>15.3</v>
      </c>
      <c r="BR4" s="9">
        <f>SUMIF('Task Durations'!$C$10:$C$34, "Indirect",'Task Durations'!BS10:BS34)</f>
        <v>7.3056999999999981</v>
      </c>
      <c r="BS4" s="9">
        <f>SUMIF('Task Durations'!$C$10:$C$34, "Indirect",'Task Durations'!BT10:BT34)</f>
        <v>12.067</v>
      </c>
      <c r="BT4" s="9">
        <f>SUMIF('Task Durations'!$C$10:$C$34, "Indirect",'Task Durations'!BU10:BU34)</f>
        <v>18.183</v>
      </c>
      <c r="BU4" s="9">
        <f>SUMIF('Task Durations'!$C$10:$C$34, "Indirect",'Task Durations'!BV10:BV34)</f>
        <v>24.083300000000008</v>
      </c>
      <c r="BV4" s="9">
        <f>SUMIF('Task Durations'!$C$10:$C$34, "Indirect",'Task Durations'!BW10:BW34)</f>
        <v>19.883299999999998</v>
      </c>
      <c r="BW4" s="9">
        <f>SUMIF('Task Durations'!$C$10:$C$34, "Indirect",'Task Durations'!BX10:BX34)</f>
        <v>17.183299999999999</v>
      </c>
      <c r="BX4" s="9">
        <f>SUMIF('Task Durations'!$C$10:$C$34, "Indirect",'Task Durations'!BY10:BY34)</f>
        <v>15.767000000000001</v>
      </c>
      <c r="BY4" s="9">
        <f>SUMIF('Task Durations'!$C$10:$C$34, "Indirect",'Task Durations'!BZ10:BZ34)</f>
        <v>21.083000000000002</v>
      </c>
      <c r="BZ4" s="9">
        <f>SUMIF('Task Durations'!$C$10:$C$34, "Indirect",'Task Durations'!CA10:CA34)</f>
        <v>13.616</v>
      </c>
      <c r="CA4" s="9">
        <f>SUMIF('Task Durations'!$C$10:$C$34, "Indirect",'Task Durations'!CB10:CB34)</f>
        <v>33.683</v>
      </c>
      <c r="CB4" s="9">
        <f>SUMIF('Task Durations'!$C$10:$C$34, "Indirect",'Task Durations'!CC10:CC34)</f>
        <v>26.1</v>
      </c>
      <c r="CC4" s="9">
        <f>SUMIF('Task Durations'!$C$10:$C$34, "Indirect",'Task Durations'!CD10:CD34)</f>
        <v>10.867000000000001</v>
      </c>
      <c r="CD4" s="9">
        <f>SUMIF('Task Durations'!$C$10:$C$34, "Indirect",'Task Durations'!CE10:CE34)</f>
        <v>8.5829999999999984</v>
      </c>
      <c r="CE4" s="9">
        <f>SUMIF('Task Durations'!$C$10:$C$34, "Indirect",'Task Durations'!CF10:CF34)</f>
        <v>19.566299999999998</v>
      </c>
      <c r="CF4" s="9">
        <f>SUMIF('Task Durations'!$C$10:$C$34, "Indirect",'Task Durations'!CG10:CG34)</f>
        <v>28.067</v>
      </c>
      <c r="CG4" s="9">
        <f>SUMIF('Task Durations'!$C$10:$C$34, "Indirect",'Task Durations'!CH10:CH34)</f>
        <v>44.132999999999996</v>
      </c>
      <c r="CH4" s="9">
        <f>SUMIF('Task Durations'!$C$10:$C$34, "Indirect",'Task Durations'!CI10:CI34)</f>
        <v>22.5</v>
      </c>
      <c r="CI4" s="9">
        <f>SUMIF('Task Durations'!$C$10:$C$34, "Indirect",'Task Durations'!CJ10:CJ34)</f>
        <v>21.25</v>
      </c>
      <c r="CJ4" s="9">
        <f>SUMIF('Task Durations'!$C$10:$C$34, "Indirect",'Task Durations'!CK10:CK34)</f>
        <v>23.483000000000004</v>
      </c>
      <c r="CK4" s="9">
        <f>SUMIF('Task Durations'!$C$10:$C$34, "Indirect",'Task Durations'!CL10:CL34)</f>
        <v>14.968999999999998</v>
      </c>
      <c r="CL4" s="9">
        <f>SUMIF('Task Durations'!$C$10:$C$34, "Indirect",'Task Durations'!CM10:CM34)</f>
        <v>23.798999999999999</v>
      </c>
      <c r="CM4" s="9"/>
      <c r="CN4" s="9"/>
      <c r="CO4" s="9"/>
      <c r="CP4" s="9"/>
      <c r="CQ4" s="9"/>
      <c r="CR4" s="9"/>
      <c r="CS4" s="9"/>
      <c r="CT4" s="9"/>
      <c r="CU4" s="9"/>
      <c r="CV4" s="9"/>
      <c r="CW4" s="9"/>
      <c r="CX4" s="9"/>
      <c r="CY4" s="9"/>
    </row>
    <row r="5" spans="1:103" x14ac:dyDescent="0.25">
      <c r="A5" s="345"/>
      <c r="B5" s="1" t="s">
        <v>9</v>
      </c>
      <c r="C5" s="9">
        <f>SUMIF('Task Durations'!$C$10:$C$34, "Travel (Internal)",'Task Durations'!D10:D34)</f>
        <v>9.6833333333333318</v>
      </c>
      <c r="D5" s="9">
        <f>SUMIF('Task Durations'!$C$10:$C$34, "Travel (Internal)",'Task Durations'!E10:E34)</f>
        <v>3.5509999999999948</v>
      </c>
      <c r="E5" s="9">
        <f>SUMIF('Task Durations'!$C$10:$C$34, "Travel (Internal)",'Task Durations'!F10:F34)</f>
        <v>2.716666666666665</v>
      </c>
      <c r="F5" s="9">
        <f>SUMIF('Task Durations'!$C$10:$C$34, "Travel (Internal)",'Task Durations'!G10:G34)</f>
        <v>8.5330000000000048</v>
      </c>
      <c r="G5" s="9">
        <f>SUMIF('Task Durations'!$C$10:$C$34, "Travel (Internal)",'Task Durations'!H10:H34)</f>
        <v>4.8850000000000016</v>
      </c>
      <c r="H5" s="9">
        <f>SUMIF('Task Durations'!$C$10:$C$34, "Travel (Internal)",'Task Durations'!I10:I34)</f>
        <v>12.25</v>
      </c>
      <c r="I5" s="9">
        <f>SUMIF('Task Durations'!$C$10:$C$34, "Travel (Internal)",'Task Durations'!J10:J34)</f>
        <v>2.116666666666668</v>
      </c>
      <c r="J5" s="9">
        <f>SUMIF('Task Durations'!$C$10:$C$34, "Travel (Internal)",'Task Durations'!K10:K34)</f>
        <v>5.55</v>
      </c>
      <c r="K5" s="9">
        <f>SUMIF('Task Durations'!$C$10:$C$34, "Travel (Internal)",'Task Durations'!L10:L34)</f>
        <v>2.1780000000000008</v>
      </c>
      <c r="L5" s="9">
        <f>SUMIF('Task Durations'!$C$10:$C$34, "Travel (Internal)",'Task Durations'!M10:M34)</f>
        <v>2.8836666666666662</v>
      </c>
      <c r="M5" s="9">
        <f>SUMIF('Task Durations'!$C$10:$C$34, "Travel (Internal)",'Task Durations'!N10:N34)</f>
        <v>2.6992999999999983</v>
      </c>
      <c r="N5" s="9">
        <f>SUMIF('Task Durations'!$C$10:$C$34, "Travel (Internal)",'Task Durations'!O10:O34)</f>
        <v>3.916999999999998</v>
      </c>
      <c r="O5" s="9">
        <f>SUMIF('Task Durations'!$C$10:$C$34, "Travel (Internal)",'Task Durations'!P10:P34)</f>
        <v>3.3670000000000018</v>
      </c>
      <c r="P5" s="9">
        <f>SUMIF('Task Durations'!$C$10:$C$34, "Travel (Internal)",'Task Durations'!Q10:Q34)</f>
        <v>3.1340000000000048</v>
      </c>
      <c r="Q5" s="9">
        <f>SUMIF('Task Durations'!$C$10:$C$34, "Travel (Internal)",'Task Durations'!R10:R34)</f>
        <v>5.1669999999999998</v>
      </c>
      <c r="R5" s="9">
        <f>SUMIF('Task Durations'!$C$10:$C$34, "Travel (Internal)",'Task Durations'!S10:S34)</f>
        <v>3.2145000000000028</v>
      </c>
      <c r="S5" s="9">
        <f>SUMIF('Task Durations'!$C$10:$C$34, "Travel (Internal)",'Task Durations'!T10:T34)</f>
        <v>2.8660000000000014</v>
      </c>
      <c r="T5" s="9">
        <f>SUMIF('Task Durations'!$C$10:$C$34, "Travel (Internal)",'Task Durations'!U10:U34)</f>
        <v>1.2833000000000034</v>
      </c>
      <c r="U5" s="9">
        <f>SUMIF('Task Durations'!$C$10:$C$34, "Travel (Internal)",'Task Durations'!V10:V34)</f>
        <v>38.118000000000002</v>
      </c>
      <c r="V5" s="9">
        <f>SUMIF('Task Durations'!$C$10:$C$34, "Travel (Internal)",'Task Durations'!W10:W34)</f>
        <v>6.2677000000000005</v>
      </c>
      <c r="W5" s="9">
        <f>SUMIF('Task Durations'!$C$10:$C$34, "Travel (Internal)",'Task Durations'!X10:X34)</f>
        <v>0.89969999999999928</v>
      </c>
      <c r="X5" s="9">
        <f>SUMIF('Task Durations'!$C$10:$C$34, "Travel (Internal)",'Task Durations'!Y10:Y34)</f>
        <v>6.4843000000000037</v>
      </c>
      <c r="Y5" s="9">
        <f>SUMIF('Task Durations'!$C$10:$C$34, "Travel (Internal)",'Task Durations'!Z10:Z34)</f>
        <v>5.8699999999999974</v>
      </c>
      <c r="Z5" s="9">
        <f>SUMIF('Task Durations'!$C$10:$C$34, "Travel (Internal)",'Task Durations'!AA10:AA34)</f>
        <v>1.1836999999999984</v>
      </c>
      <c r="AA5" s="9">
        <f>SUMIF('Task Durations'!$C$10:$C$34, "Travel (Internal)",'Task Durations'!AB10:AB34)</f>
        <v>6.6492999999999984</v>
      </c>
      <c r="AB5" s="9">
        <f>SUMIF('Task Durations'!$C$10:$C$34, "Travel (Internal)",'Task Durations'!AC10:AC34)</f>
        <v>1.6096999999999979</v>
      </c>
      <c r="AC5" s="9">
        <f>SUMIF('Task Durations'!$C$10:$C$34, "Travel (Internal)",'Task Durations'!AD10:AD34)</f>
        <v>2.3366999999999969</v>
      </c>
      <c r="AD5" s="9">
        <f>SUMIF('Task Durations'!$C$10:$C$34, "Travel (Internal)",'Task Durations'!AE10:AE34)</f>
        <v>14.469000000000003</v>
      </c>
      <c r="AE5" s="9">
        <f>SUMIF('Task Durations'!$C$10:$C$34, "Travel (Internal)",'Task Durations'!AF10:AF34)</f>
        <v>9.8666000000000018</v>
      </c>
      <c r="AF5" s="9">
        <f>SUMIF('Task Durations'!$C$10:$C$34, "Travel (Internal)",'Task Durations'!AG10:AG34)</f>
        <v>8.7836999999999961</v>
      </c>
      <c r="AG5" s="9">
        <f>SUMIF('Task Durations'!$C$10:$C$34, "Travel (Internal)",'Task Durations'!AH10:AH34)</f>
        <v>3.8326999999999991</v>
      </c>
      <c r="AH5" s="9">
        <f>SUMIF('Task Durations'!$C$10:$C$34, "Travel (Internal)",'Task Durations'!AI10:AI34)</f>
        <v>9.7493000000000016</v>
      </c>
      <c r="AI5" s="9">
        <f>SUMIF('Task Durations'!$C$10:$C$34, "Travel (Internal)",'Task Durations'!AJ10:AJ34)</f>
        <v>15.695700000000004</v>
      </c>
      <c r="AJ5" s="9">
        <f>SUMIF('Task Durations'!$C$10:$C$34, "Travel (Internal)",'Task Durations'!AK10:AK34)</f>
        <v>7.5170000000000039</v>
      </c>
      <c r="AK5" s="9">
        <f>SUMIF('Task Durations'!$C$10:$C$34, "Travel (Internal)",'Task Durations'!AL10:AL34)</f>
        <v>5.4659999999999993</v>
      </c>
      <c r="AL5" s="9">
        <f>SUMIF('Task Durations'!$C$10:$C$34, "Travel (Internal)",'Task Durations'!AM10:AM34)</f>
        <v>4.1999999999999993</v>
      </c>
      <c r="AM5" s="9">
        <f>SUMIF('Task Durations'!$C$10:$C$34, "Travel (Internal)",'Task Durations'!AN10:AN34)</f>
        <v>1.6780000000000019</v>
      </c>
      <c r="AN5" s="9">
        <f>SUMIF('Task Durations'!$C$10:$C$34, "Travel (Internal)",'Task Durations'!AO10:AO34)</f>
        <v>7.5347000000000026</v>
      </c>
      <c r="AO5" s="9">
        <f>SUMIF('Task Durations'!$C$10:$C$34, "Travel (Internal)",'Task Durations'!AP10:AP34)</f>
        <v>2.4170000000000034</v>
      </c>
      <c r="AP5" s="9">
        <f>SUMIF('Task Durations'!$C$10:$C$34, "Travel (Internal)",'Task Durations'!AQ10:AQ34)</f>
        <v>8.4496000000000002</v>
      </c>
      <c r="AQ5" s="9">
        <f>SUMIF('Task Durations'!$C$10:$C$34, "Travel (Internal)",'Task Durations'!AR10:AR34)</f>
        <v>9.3320000000000007</v>
      </c>
      <c r="AR5" s="9">
        <f>SUMIF('Task Durations'!$C$10:$C$34, "Travel (Internal)",'Task Durations'!AS10:AS34)</f>
        <v>5.0715000000000021</v>
      </c>
      <c r="AS5" s="9">
        <f>SUMIF('Task Durations'!$C$10:$C$34, "Travel (Internal)",'Task Durations'!AT10:AT34)</f>
        <v>9.7170000000000023</v>
      </c>
      <c r="AT5" s="9">
        <f>SUMIF('Task Durations'!$C$10:$C$34, "Travel (Internal)",'Task Durations'!AU10:AU34)</f>
        <v>13.1503</v>
      </c>
      <c r="AU5" s="9">
        <f>SUMIF('Task Durations'!$C$10:$C$34, "Travel (Internal)",'Task Durations'!AV10:AV34)</f>
        <v>15.248000000000003</v>
      </c>
      <c r="AV5" s="9">
        <f>SUMIF('Task Durations'!$C$10:$C$34, "Travel (Internal)",'Task Durations'!AW10:AW34)</f>
        <v>1.4987000000000013</v>
      </c>
      <c r="AW5" s="9">
        <f>SUMIF('Task Durations'!$C$10:$C$34, "Travel (Internal)",'Task Durations'!AX10:AX34)</f>
        <v>10.499999999999998</v>
      </c>
      <c r="AX5" s="9">
        <f>SUMIF('Task Durations'!$C$10:$C$34, "Travel (Internal)",'Task Durations'!AY10:AY34)</f>
        <v>7.6669999999999998</v>
      </c>
      <c r="AY5" s="9">
        <f>SUMIF('Task Durations'!$C$10:$C$34, "Travel (Internal)",'Task Durations'!AZ10:AZ34)</f>
        <v>13.417599999999995</v>
      </c>
      <c r="AZ5" s="9">
        <f>SUMIF('Task Durations'!$C$10:$C$34, "Travel (Internal)",'Task Durations'!BA10:BA34)</f>
        <v>3.7336999999999989</v>
      </c>
      <c r="BA5" s="9">
        <f>SUMIF('Task Durations'!$C$10:$C$34, "Travel (Internal)",'Task Durations'!BB10:BB34)</f>
        <v>2.5830000000000002</v>
      </c>
      <c r="BB5" s="9">
        <f>SUMIF('Task Durations'!$C$10:$C$34, "Travel (Internal)",'Task Durations'!BC10:BC34)</f>
        <v>5.3345999999999982</v>
      </c>
      <c r="BC5" s="9">
        <f>SUMIF('Task Durations'!$C$10:$C$34, "Travel (Internal)",'Task Durations'!BD10:BD34)</f>
        <v>5.3510000000000044</v>
      </c>
      <c r="BD5" s="9">
        <f>SUMIF('Task Durations'!$C$10:$C$34, "Travel (Internal)",'Task Durations'!BE10:BE34)</f>
        <v>8.2014000000000031</v>
      </c>
      <c r="BE5" s="9">
        <f>SUMIF('Task Durations'!$C$10:$C$34, "Travel (Internal)",'Task Durations'!BF10:BF34)</f>
        <v>10.900000000000002</v>
      </c>
      <c r="BF5" s="9">
        <f>SUMIF('Task Durations'!$C$10:$C$34, "Travel (Internal)",'Task Durations'!BG10:BG34)</f>
        <v>24.616800000000001</v>
      </c>
      <c r="BG5" s="9">
        <f>SUMIF('Task Durations'!$C$10:$C$34, "Travel (Internal)",'Task Durations'!BH10:BH34)</f>
        <v>1.4500000000000042</v>
      </c>
      <c r="BH5" s="9">
        <f>SUMIF('Task Durations'!$C$10:$C$34, "Travel (Internal)",'Task Durations'!BI10:BI34)</f>
        <v>3.5069999999999988</v>
      </c>
      <c r="BI5" s="9">
        <f>SUMIF('Task Durations'!$C$10:$C$34, "Travel (Internal)",'Task Durations'!BJ10:BJ34)</f>
        <v>1.5659999999999998</v>
      </c>
      <c r="BJ5" s="9">
        <f>SUMIF('Task Durations'!$C$10:$C$34, "Travel (Internal)",'Task Durations'!BK10:BK34)</f>
        <v>3.0830000000000011</v>
      </c>
      <c r="BK5" s="9">
        <f>SUMIF('Task Durations'!$C$10:$C$34, "Travel (Internal)",'Task Durations'!BL10:BL34)</f>
        <v>7.0346999999999946</v>
      </c>
      <c r="BL5" s="9">
        <f>SUMIF('Task Durations'!$C$10:$C$34, "Travel (Internal)",'Task Durations'!BM10:BM34)</f>
        <v>6.4837000000000025</v>
      </c>
      <c r="BM5" s="9">
        <f>SUMIF('Task Durations'!$C$10:$C$34, "Travel (Internal)",'Task Durations'!BN10:BN34)</f>
        <v>1.3273000000000041</v>
      </c>
      <c r="BN5" s="9">
        <f>SUMIF('Task Durations'!$C$10:$C$34, "Travel (Internal)",'Task Durations'!BO10:BO34)</f>
        <v>3.0506999999999973</v>
      </c>
      <c r="BO5" s="9">
        <f>SUMIF('Task Durations'!$C$10:$C$34, "Travel (Internal)",'Task Durations'!BP10:BP34)</f>
        <v>13.885000000000007</v>
      </c>
      <c r="BP5" s="9">
        <f>SUMIF('Task Durations'!$C$10:$C$34, "Travel (Internal)",'Task Durations'!BQ10:BQ34)</f>
        <v>9.9999999999999982</v>
      </c>
      <c r="BQ5" s="9">
        <f>SUMIF('Task Durations'!$C$10:$C$34, "Travel (Internal)",'Task Durations'!BR10:BR34)</f>
        <v>2.0832999999999977</v>
      </c>
      <c r="BR5" s="9">
        <f>SUMIF('Task Durations'!$C$10:$C$34, "Travel (Internal)",'Task Durations'!BS10:BS34)</f>
        <v>1.3643000000000041</v>
      </c>
      <c r="BS5" s="9">
        <f>SUMIF('Task Durations'!$C$10:$C$34, "Travel (Internal)",'Task Durations'!BT10:BT34)</f>
        <v>3.25</v>
      </c>
      <c r="BT5" s="9">
        <f>SUMIF('Task Durations'!$C$10:$C$34, "Travel (Internal)",'Task Durations'!BU10:BU34)</f>
        <v>14.733699999999997</v>
      </c>
      <c r="BU5" s="9">
        <f>SUMIF('Task Durations'!$C$10:$C$34, "Travel (Internal)",'Task Durations'!BV10:BV34)</f>
        <v>2.3499999999999965</v>
      </c>
      <c r="BV5" s="9">
        <f>SUMIF('Task Durations'!$C$10:$C$34, "Travel (Internal)",'Task Durations'!BW10:BW34)</f>
        <v>12.200000000000005</v>
      </c>
      <c r="BW5" s="9">
        <f>SUMIF('Task Durations'!$C$10:$C$34, "Travel (Internal)",'Task Durations'!BX10:BX34)</f>
        <v>2.867</v>
      </c>
      <c r="BX5" s="9">
        <f>SUMIF('Task Durations'!$C$10:$C$34, "Travel (Internal)",'Task Durations'!BY10:BY34)</f>
        <v>1.0666999999999995</v>
      </c>
      <c r="BY5" s="9">
        <f>SUMIF('Task Durations'!$C$10:$C$34, "Travel (Internal)",'Task Durations'!BZ10:BZ34)</f>
        <v>8.7832999999999988</v>
      </c>
      <c r="BZ5" s="9">
        <f>SUMIF('Task Durations'!$C$10:$C$34, "Travel (Internal)",'Task Durations'!CA10:CA34)</f>
        <v>2.6663000000000006</v>
      </c>
      <c r="CA5" s="9">
        <f>SUMIF('Task Durations'!$C$10:$C$34, "Travel (Internal)",'Task Durations'!CB10:CB34)</f>
        <v>3.9159999999999968</v>
      </c>
      <c r="CB5" s="9">
        <f>SUMIF('Task Durations'!$C$10:$C$34, "Travel (Internal)",'Task Durations'!CC10:CC34)</f>
        <v>13.766000000000002</v>
      </c>
      <c r="CC5" s="9">
        <f>SUMIF('Task Durations'!$C$10:$C$34, "Travel (Internal)",'Task Durations'!CD10:CD34)</f>
        <v>7.4977000000000018</v>
      </c>
      <c r="CD5" s="9">
        <f>SUMIF('Task Durations'!$C$10:$C$34, "Travel (Internal)",'Task Durations'!CE10:CE34)</f>
        <v>10.832999999999998</v>
      </c>
      <c r="CE5" s="9">
        <f>SUMIF('Task Durations'!$C$10:$C$34, "Travel (Internal)",'Task Durations'!CF10:CF34)</f>
        <v>1.6170000000000011</v>
      </c>
      <c r="CF5" s="9">
        <f>SUMIF('Task Durations'!$C$10:$C$34, "Travel (Internal)",'Task Durations'!CG10:CG34)</f>
        <v>9.016</v>
      </c>
      <c r="CG5" s="9">
        <f>SUMIF('Task Durations'!$C$10:$C$34, "Travel (Internal)",'Task Durations'!CH10:CH34)</f>
        <v>9.3339999999999996</v>
      </c>
      <c r="CH5" s="9">
        <f>SUMIF('Task Durations'!$C$10:$C$34, "Travel (Internal)",'Task Durations'!CI10:CI34)</f>
        <v>7.5</v>
      </c>
      <c r="CI5" s="9">
        <f>SUMIF('Task Durations'!$C$10:$C$34, "Travel (Internal)",'Task Durations'!CJ10:CJ34)</f>
        <v>3.3499999999999996</v>
      </c>
      <c r="CJ5" s="9">
        <f>SUMIF('Task Durations'!$C$10:$C$34, "Travel (Internal)",'Task Durations'!CK10:CK34)</f>
        <v>4.4830000000000005</v>
      </c>
      <c r="CK5" s="9">
        <f>SUMIF('Task Durations'!$C$10:$C$34, "Travel (Internal)",'Task Durations'!CL10:CL34)</f>
        <v>4.4935000000000018</v>
      </c>
      <c r="CL5" s="9">
        <f>SUMIF('Task Durations'!$C$10:$C$34, "Travel (Internal)",'Task Durations'!CM10:CM34)</f>
        <v>4.9340000000000019</v>
      </c>
      <c r="CM5" s="9"/>
      <c r="CN5" s="9"/>
      <c r="CO5" s="9"/>
      <c r="CP5" s="9"/>
      <c r="CQ5" s="9"/>
      <c r="CR5" s="9"/>
      <c r="CS5" s="9"/>
      <c r="CT5" s="9"/>
      <c r="CU5" s="9"/>
      <c r="CV5" s="9"/>
      <c r="CW5" s="9"/>
      <c r="CX5" s="9"/>
      <c r="CY5" s="9"/>
    </row>
    <row r="6" spans="1:103" x14ac:dyDescent="0.25">
      <c r="A6" s="345"/>
      <c r="B6" s="13" t="s">
        <v>5</v>
      </c>
      <c r="C6" s="9">
        <f>(C3+C4)/C3</f>
        <v>1.5310287380258225</v>
      </c>
      <c r="D6" s="9">
        <f t="shared" ref="D6:H6" si="0">(D3+D4)/D3</f>
        <v>1.4438931592071773</v>
      </c>
      <c r="E6" s="9">
        <f t="shared" si="0"/>
        <v>2.1547861507128308</v>
      </c>
      <c r="F6" s="9">
        <f t="shared" si="0"/>
        <v>1.8496144921027025</v>
      </c>
      <c r="G6" s="9">
        <f t="shared" si="0"/>
        <v>1.6943768161470198</v>
      </c>
      <c r="H6" s="9">
        <f t="shared" si="0"/>
        <v>1.885057471264368</v>
      </c>
      <c r="I6" s="9">
        <f t="shared" ref="I6:BT6" si="1">(I3+I4)/I3</f>
        <v>1.3107328332371611</v>
      </c>
      <c r="J6" s="9">
        <f t="shared" si="1"/>
        <v>1.6563959127512236</v>
      </c>
      <c r="K6" s="9">
        <f t="shared" si="1"/>
        <v>1.6242496345898909</v>
      </c>
      <c r="L6" s="9">
        <f t="shared" si="1"/>
        <v>1.9282004643036641</v>
      </c>
      <c r="M6" s="9">
        <f t="shared" si="1"/>
        <v>1.7617326842282217</v>
      </c>
      <c r="N6" s="9">
        <f t="shared" si="1"/>
        <v>2.1180734733996802</v>
      </c>
      <c r="O6" s="9">
        <f t="shared" si="1"/>
        <v>1.2965504187763215</v>
      </c>
      <c r="P6" s="9">
        <f t="shared" si="1"/>
        <v>1.6004495410934672</v>
      </c>
      <c r="Q6" s="9">
        <f t="shared" si="1"/>
        <v>2.2221777777777776</v>
      </c>
      <c r="R6" s="9">
        <f t="shared" si="1"/>
        <v>1.7241903094588333</v>
      </c>
      <c r="S6" s="9">
        <f t="shared" si="1"/>
        <v>1.730395043036981</v>
      </c>
      <c r="T6" s="9">
        <f t="shared" si="1"/>
        <v>1.6766426648268853</v>
      </c>
      <c r="U6" s="9">
        <f t="shared" si="1"/>
        <v>1.5736091777468437</v>
      </c>
      <c r="V6" s="9">
        <f t="shared" si="1"/>
        <v>1.4596065641890934</v>
      </c>
      <c r="W6" s="9">
        <f t="shared" si="1"/>
        <v>1.6681826345573709</v>
      </c>
      <c r="X6" s="9">
        <f t="shared" si="1"/>
        <v>1.3598731618468038</v>
      </c>
      <c r="Y6" s="9">
        <f t="shared" si="1"/>
        <v>1.5861329521086491</v>
      </c>
      <c r="Z6" s="9">
        <f t="shared" si="1"/>
        <v>3.0151623145208322</v>
      </c>
      <c r="AA6" s="9">
        <f t="shared" si="1"/>
        <v>1.3168514482807558</v>
      </c>
      <c r="AB6" s="9">
        <f t="shared" si="1"/>
        <v>1.4813980316521864</v>
      </c>
      <c r="AC6" s="9">
        <f t="shared" si="1"/>
        <v>1.5723766792770801</v>
      </c>
      <c r="AD6" s="9">
        <f t="shared" si="1"/>
        <v>1.4692615833468403</v>
      </c>
      <c r="AE6" s="9">
        <f t="shared" si="1"/>
        <v>1.3905717961615849</v>
      </c>
      <c r="AF6" s="9">
        <f t="shared" si="1"/>
        <v>1.9769246767652258</v>
      </c>
      <c r="AG6" s="9">
        <f t="shared" si="1"/>
        <v>1.6806835016835018</v>
      </c>
      <c r="AH6" s="9">
        <f t="shared" si="1"/>
        <v>1.4896472930320663</v>
      </c>
      <c r="AI6" s="9">
        <f t="shared" si="1"/>
        <v>1.5551342660363323</v>
      </c>
      <c r="AJ6" s="9">
        <f t="shared" si="1"/>
        <v>1.8196319364202578</v>
      </c>
      <c r="AK6" s="9">
        <f t="shared" si="1"/>
        <v>1.525430797520426</v>
      </c>
      <c r="AL6" s="9">
        <f t="shared" si="1"/>
        <v>1.3306122448979592</v>
      </c>
      <c r="AM6" s="9">
        <f t="shared" si="1"/>
        <v>1.8125031766200763</v>
      </c>
      <c r="AN6" s="9">
        <f t="shared" si="1"/>
        <v>1.7600222689595451</v>
      </c>
      <c r="AO6" s="9">
        <f t="shared" si="1"/>
        <v>1.8238168571936266</v>
      </c>
      <c r="AP6" s="9">
        <f t="shared" si="1"/>
        <v>2.0976817281662763</v>
      </c>
      <c r="AQ6" s="9">
        <f t="shared" si="1"/>
        <v>1.3982230208645303</v>
      </c>
      <c r="AR6" s="9">
        <f t="shared" si="1"/>
        <v>1.3244539915246445</v>
      </c>
      <c r="AS6" s="9">
        <f t="shared" si="1"/>
        <v>1.4206259674161135</v>
      </c>
      <c r="AT6" s="9">
        <f t="shared" si="1"/>
        <v>1.6894528875379939</v>
      </c>
      <c r="AU6" s="9">
        <f t="shared" si="1"/>
        <v>2.6681760577110549</v>
      </c>
      <c r="AV6" s="9">
        <f t="shared" si="1"/>
        <v>1.5929710784476803</v>
      </c>
      <c r="AW6" s="9">
        <f t="shared" si="1"/>
        <v>1.2946761836160041</v>
      </c>
      <c r="AX6" s="9">
        <f t="shared" si="1"/>
        <v>1.6586027669494765</v>
      </c>
      <c r="AY6" s="9">
        <f t="shared" si="1"/>
        <v>1.335110401149791</v>
      </c>
      <c r="AZ6" s="9">
        <f t="shared" si="1"/>
        <v>1.3331218627028378</v>
      </c>
      <c r="BA6" s="9">
        <f t="shared" si="1"/>
        <v>2.2913374515155875</v>
      </c>
      <c r="BB6" s="9">
        <f t="shared" si="1"/>
        <v>1.4601258958883441</v>
      </c>
      <c r="BC6" s="9">
        <f t="shared" si="1"/>
        <v>1.4829463339435398</v>
      </c>
      <c r="BD6" s="9">
        <f t="shared" si="1"/>
        <v>1.9071768091518502</v>
      </c>
      <c r="BE6" s="9">
        <f t="shared" si="1"/>
        <v>1.6170631553941699</v>
      </c>
      <c r="BF6" s="9">
        <f t="shared" si="1"/>
        <v>1.5627908050754507</v>
      </c>
      <c r="BG6" s="9">
        <f t="shared" si="1"/>
        <v>1.4972577847753976</v>
      </c>
      <c r="BH6" s="9">
        <f t="shared" si="1"/>
        <v>1.8367260259952922</v>
      </c>
      <c r="BI6" s="9">
        <f t="shared" si="1"/>
        <v>2.0340046982708824</v>
      </c>
      <c r="BJ6" s="9">
        <f t="shared" si="1"/>
        <v>1.9223664122137405</v>
      </c>
      <c r="BK6" s="9">
        <f t="shared" si="1"/>
        <v>1.6234773776103524</v>
      </c>
      <c r="BL6" s="9">
        <f t="shared" si="1"/>
        <v>1.5004782779946086</v>
      </c>
      <c r="BM6" s="9">
        <f t="shared" si="1"/>
        <v>2.3528065731839582</v>
      </c>
      <c r="BN6" s="9">
        <f t="shared" si="1"/>
        <v>2.0250512228920079</v>
      </c>
      <c r="BO6" s="9">
        <f t="shared" si="1"/>
        <v>1.5613842442392483</v>
      </c>
      <c r="BP6" s="9">
        <f t="shared" si="1"/>
        <v>1.7329399091377451</v>
      </c>
      <c r="BQ6" s="9">
        <f t="shared" si="1"/>
        <v>1.4569387493018993</v>
      </c>
      <c r="BR6" s="9">
        <f t="shared" si="1"/>
        <v>1.156990287089565</v>
      </c>
      <c r="BS6" s="9">
        <f t="shared" si="1"/>
        <v>1.2568375795500499</v>
      </c>
      <c r="BT6" s="9">
        <f t="shared" si="1"/>
        <v>1.2805312861116724</v>
      </c>
      <c r="BU6" s="9">
        <f t="shared" ref="BU6:CK6" si="2">(BU3+BU4)/BU3</f>
        <v>1.5326160514850611</v>
      </c>
      <c r="BV6" s="9">
        <f t="shared" si="2"/>
        <v>1.4302161542289633</v>
      </c>
      <c r="BW6" s="9">
        <f t="shared" si="2"/>
        <v>2.0933147543695556</v>
      </c>
      <c r="BX6" s="9">
        <f t="shared" si="2"/>
        <v>2.8920475681902729</v>
      </c>
      <c r="BY6" s="9">
        <f t="shared" si="2"/>
        <v>1.6440959651968827</v>
      </c>
      <c r="BZ6" s="9">
        <f t="shared" si="2"/>
        <v>3.1958811101972358</v>
      </c>
      <c r="CA6" s="9">
        <f t="shared" si="2"/>
        <v>1.6949677099882396</v>
      </c>
      <c r="CB6" s="9">
        <f t="shared" si="2"/>
        <v>1.6543977534851066</v>
      </c>
      <c r="CC6" s="9">
        <f t="shared" si="2"/>
        <v>1.2737141705707522</v>
      </c>
      <c r="CD6" s="9">
        <f t="shared" si="2"/>
        <v>1.9698305084745764</v>
      </c>
      <c r="CE6" s="9">
        <f t="shared" si="2"/>
        <v>2.0557545999028757</v>
      </c>
      <c r="CF6" s="9">
        <f t="shared" si="2"/>
        <v>1.577114857515324</v>
      </c>
      <c r="CG6" s="9">
        <f t="shared" si="2"/>
        <v>2.6165934065934064</v>
      </c>
      <c r="CH6" s="9">
        <f t="shared" si="2"/>
        <v>1.3571428571428572</v>
      </c>
      <c r="CI6" s="9">
        <f t="shared" si="2"/>
        <v>1.6994042721258598</v>
      </c>
      <c r="CJ6" s="9">
        <f t="shared" si="2"/>
        <v>1.4471504465220786</v>
      </c>
      <c r="CK6" s="9">
        <f t="shared" si="2"/>
        <v>1.2220969309405996</v>
      </c>
      <c r="CL6" s="9">
        <f t="shared" ref="CL6" si="3">(CL3+CL4)/CL3</f>
        <v>1.710778604067736</v>
      </c>
      <c r="CM6" s="9"/>
      <c r="CN6" s="9"/>
      <c r="CO6" s="9"/>
      <c r="CP6" s="9"/>
      <c r="CQ6" s="9"/>
      <c r="CR6" s="9"/>
      <c r="CS6" s="9"/>
      <c r="CT6" s="9"/>
      <c r="CU6" s="9"/>
      <c r="CV6" s="9"/>
      <c r="CW6" s="9"/>
      <c r="CX6" s="9"/>
      <c r="CY6" s="9"/>
    </row>
    <row r="7" spans="1:103" x14ac:dyDescent="0.25">
      <c r="A7" s="345"/>
      <c r="B7" s="13"/>
      <c r="C7" s="9"/>
      <c r="D7" s="9"/>
      <c r="E7" s="9"/>
      <c r="F7" s="9"/>
      <c r="G7" s="9"/>
      <c r="H7" s="9"/>
      <c r="I7" s="9"/>
      <c r="J7" s="9"/>
      <c r="K7" s="9"/>
      <c r="L7" s="9"/>
      <c r="M7" s="9"/>
      <c r="N7" s="9"/>
      <c r="O7" s="9"/>
      <c r="P7" s="9"/>
      <c r="Q7" s="9"/>
      <c r="R7" s="9"/>
    </row>
    <row r="8" spans="1:103" x14ac:dyDescent="0.25">
      <c r="A8" s="345"/>
    </row>
    <row r="9" spans="1:103" s="7" customFormat="1" x14ac:dyDescent="0.25">
      <c r="A9" s="345"/>
      <c r="I9"/>
      <c r="J9" s="6"/>
      <c r="K9" s="12"/>
      <c r="L9" s="12"/>
      <c r="M9" s="12"/>
      <c r="N9" s="12"/>
      <c r="O9" s="12"/>
      <c r="P9" s="12"/>
      <c r="Q9" s="12"/>
      <c r="R9" s="12"/>
      <c r="S9" s="12"/>
      <c r="T9" s="12"/>
      <c r="U9" s="12"/>
      <c r="V9" s="12"/>
      <c r="W9" s="12"/>
      <c r="X9" s="12"/>
      <c r="Y9" s="12"/>
      <c r="Z9" s="12"/>
    </row>
    <row r="10" spans="1:103" x14ac:dyDescent="0.25">
      <c r="A10" s="345"/>
      <c r="J10" s="13"/>
      <c r="K10" s="14"/>
      <c r="L10" s="14"/>
      <c r="M10" s="14"/>
      <c r="N10" s="14"/>
      <c r="O10" s="14"/>
      <c r="P10" s="14"/>
      <c r="Q10" s="14"/>
      <c r="R10" s="14"/>
      <c r="S10" s="14"/>
      <c r="T10" s="14"/>
      <c r="U10" s="14"/>
      <c r="V10" s="14"/>
      <c r="W10" s="14"/>
      <c r="X10" s="14"/>
      <c r="Y10" s="14"/>
      <c r="Z10" s="14"/>
    </row>
    <row r="11" spans="1:103" x14ac:dyDescent="0.25">
      <c r="A11" s="345"/>
      <c r="I11" s="10"/>
      <c r="K11" s="9"/>
      <c r="L11" s="9"/>
      <c r="M11" s="9"/>
      <c r="N11" s="9"/>
      <c r="O11" s="9"/>
      <c r="P11" s="9"/>
      <c r="Q11" s="9"/>
      <c r="R11" s="9"/>
      <c r="S11" s="9"/>
      <c r="T11" s="9"/>
      <c r="U11" s="9"/>
      <c r="V11" s="9"/>
      <c r="W11" s="9"/>
      <c r="X11" s="9"/>
      <c r="Y11" s="9"/>
      <c r="Z11" s="9"/>
    </row>
    <row r="12" spans="1:103" x14ac:dyDescent="0.25">
      <c r="A12" s="345"/>
      <c r="I12" s="10"/>
      <c r="K12" s="9"/>
      <c r="L12" s="9"/>
      <c r="M12" s="9"/>
      <c r="N12" s="9"/>
      <c r="O12" s="9"/>
      <c r="P12" s="9"/>
      <c r="Q12" s="9"/>
      <c r="R12" s="9"/>
      <c r="S12" s="9"/>
      <c r="T12" s="9"/>
      <c r="U12" s="9"/>
      <c r="V12" s="9"/>
      <c r="W12" s="9"/>
      <c r="X12" s="9"/>
      <c r="Y12" s="9"/>
      <c r="Z12" s="9"/>
    </row>
    <row r="13" spans="1:103" x14ac:dyDescent="0.25">
      <c r="A13" s="345"/>
      <c r="I13" s="10"/>
      <c r="K13" s="9"/>
      <c r="L13" s="9"/>
      <c r="M13" s="9"/>
      <c r="N13" s="9"/>
      <c r="O13" s="9"/>
      <c r="P13" s="9"/>
      <c r="Q13" s="9"/>
      <c r="R13" s="9"/>
      <c r="S13" s="9"/>
      <c r="T13" s="9"/>
      <c r="U13" s="9"/>
      <c r="V13" s="9"/>
      <c r="W13" s="9"/>
      <c r="X13" s="9"/>
      <c r="Y13" s="9"/>
      <c r="Z13" s="9"/>
    </row>
    <row r="14" spans="1:103" x14ac:dyDescent="0.25">
      <c r="A14" s="345"/>
      <c r="I14" s="10"/>
      <c r="J14" s="13"/>
      <c r="K14" s="9"/>
      <c r="L14" s="9"/>
      <c r="M14" s="9"/>
      <c r="N14" s="9"/>
      <c r="O14" s="9"/>
      <c r="P14" s="9"/>
      <c r="Q14" s="9"/>
      <c r="R14" s="9"/>
      <c r="S14" s="9"/>
      <c r="T14" s="9"/>
      <c r="U14" s="9"/>
      <c r="V14" s="9"/>
      <c r="W14" s="9"/>
      <c r="X14" s="9"/>
      <c r="Y14" s="9"/>
      <c r="Z14" s="9"/>
    </row>
    <row r="15" spans="1:103" x14ac:dyDescent="0.25">
      <c r="A15" s="345"/>
      <c r="I15" s="10"/>
      <c r="J15" s="10"/>
    </row>
    <row r="16" spans="1:103" x14ac:dyDescent="0.25">
      <c r="A16" s="345"/>
      <c r="I16" s="10"/>
      <c r="J16" s="10"/>
    </row>
    <row r="17" spans="1:13" x14ac:dyDescent="0.25">
      <c r="A17" s="345"/>
      <c r="I17" s="10"/>
      <c r="J17" s="10"/>
    </row>
    <row r="18" spans="1:13" x14ac:dyDescent="0.25">
      <c r="A18" s="345"/>
      <c r="I18" s="10"/>
      <c r="J18" s="10"/>
    </row>
    <row r="19" spans="1:13" x14ac:dyDescent="0.25">
      <c r="A19" s="345"/>
      <c r="I19" s="10"/>
      <c r="J19" s="10"/>
    </row>
    <row r="20" spans="1:13" x14ac:dyDescent="0.25">
      <c r="A20" s="345"/>
      <c r="I20" s="10"/>
      <c r="J20" s="10"/>
    </row>
    <row r="21" spans="1:13" x14ac:dyDescent="0.25">
      <c r="A21" s="345"/>
      <c r="I21" s="10"/>
      <c r="J21" s="10"/>
    </row>
    <row r="22" spans="1:13" x14ac:dyDescent="0.25">
      <c r="A22" s="345"/>
      <c r="I22" s="10"/>
      <c r="J22" s="10"/>
    </row>
    <row r="23" spans="1:13" x14ac:dyDescent="0.25">
      <c r="A23" s="345"/>
      <c r="I23" s="10"/>
      <c r="J23" s="10"/>
    </row>
    <row r="24" spans="1:13" x14ac:dyDescent="0.25">
      <c r="A24" s="345"/>
      <c r="I24" s="10"/>
      <c r="J24" s="10"/>
    </row>
    <row r="25" spans="1:13" x14ac:dyDescent="0.25">
      <c r="A25" s="345"/>
      <c r="I25" s="10"/>
      <c r="J25" s="10"/>
    </row>
    <row r="26" spans="1:13" x14ac:dyDescent="0.25">
      <c r="A26" s="345"/>
      <c r="I26" s="10"/>
      <c r="J26" s="10"/>
    </row>
    <row r="27" spans="1:13" x14ac:dyDescent="0.25">
      <c r="A27" s="345"/>
      <c r="I27" s="10"/>
      <c r="J27" s="10"/>
    </row>
    <row r="28" spans="1:13" ht="15.75" thickBot="1" x14ac:dyDescent="0.3">
      <c r="A28" s="345"/>
      <c r="I28" s="10"/>
      <c r="J28" s="10"/>
    </row>
    <row r="29" spans="1:13" ht="27" thickBot="1" x14ac:dyDescent="0.45">
      <c r="A29" s="345"/>
      <c r="B29" s="359" t="s">
        <v>384</v>
      </c>
      <c r="C29" s="360"/>
      <c r="D29" s="360"/>
      <c r="E29" s="360"/>
      <c r="F29" s="360"/>
      <c r="G29" s="361"/>
    </row>
    <row r="30" spans="1:13" ht="54.75" customHeight="1" thickBot="1" x14ac:dyDescent="0.3">
      <c r="A30" s="345"/>
      <c r="B30" s="36" t="str">
        <f>'Data For Analysis'!B1</f>
        <v>Field</v>
      </c>
      <c r="C30" s="37" t="s">
        <v>2</v>
      </c>
      <c r="D30" s="37" t="s">
        <v>12</v>
      </c>
      <c r="E30" s="37" t="s">
        <v>13</v>
      </c>
      <c r="F30" s="37" t="s">
        <v>14</v>
      </c>
      <c r="G30" s="160" t="s">
        <v>100</v>
      </c>
      <c r="H30"/>
      <c r="I30"/>
      <c r="J30"/>
      <c r="K30"/>
      <c r="L30" s="1"/>
      <c r="M30" s="1"/>
    </row>
    <row r="31" spans="1:13" x14ac:dyDescent="0.25">
      <c r="A31" s="345"/>
      <c r="B31" s="260" t="str">
        <f>'Data For Analysis'!B10</f>
        <v>2.b.</v>
      </c>
      <c r="C31" s="261" t="str">
        <f>'Data For Analysis'!C10</f>
        <v>Indirect</v>
      </c>
      <c r="D31" s="255">
        <f>AVERAGE('Task Durations'!D10:CM10)</f>
        <v>1.5541170454545459</v>
      </c>
      <c r="E31" s="256">
        <f>AVERAGEIF('Task Durations'!$D$41:$CM$41,"Large",'Task Durations'!$D10:$CM10)</f>
        <v>1.3636555555555554</v>
      </c>
      <c r="F31" s="256">
        <f>AVERAGEIF('Task Durations'!$D$41:$CM$41,"Medium",'Task Durations'!$D10:$CM10)</f>
        <v>1.3833793103448271</v>
      </c>
      <c r="G31" s="257">
        <f>AVERAGEIF('Task Durations'!$D$41:$CM$41,"Small",'Task Durations'!$D10:$CM10)</f>
        <v>1.5302777777777778</v>
      </c>
      <c r="H31"/>
      <c r="I31"/>
      <c r="J31"/>
      <c r="K31"/>
    </row>
    <row r="32" spans="1:13" x14ac:dyDescent="0.25">
      <c r="A32" s="345"/>
      <c r="B32" s="107" t="str">
        <f>'Data For Analysis'!B11</f>
        <v>2.c.</v>
      </c>
      <c r="C32" s="262" t="str">
        <f>'Data For Analysis'!C11</f>
        <v>Indirect</v>
      </c>
      <c r="D32" s="258">
        <f>AVERAGE('Task Durations'!D11:CM11)</f>
        <v>0.39787537878787876</v>
      </c>
      <c r="E32" s="38">
        <f>AVERAGEIF('Task Durations'!$D$41:$CM$41,"Large",'Task Durations'!$D11:$CM11)</f>
        <v>0.37553636363636372</v>
      </c>
      <c r="F32" s="38">
        <f>AVERAGEIF('Task Durations'!$D$41:$CM$41,"Medium",'Task Durations'!$D11:$CM11)</f>
        <v>0.44425287356321852</v>
      </c>
      <c r="G32" s="40">
        <f>AVERAGEIF('Task Durations'!$D$41:$CM$41,"Small",'Task Durations'!$D11:$CM11)</f>
        <v>0.37170833333333314</v>
      </c>
      <c r="H32"/>
      <c r="I32"/>
      <c r="J32"/>
      <c r="K32"/>
      <c r="L32" s="1"/>
      <c r="M32" s="1"/>
    </row>
    <row r="33" spans="1:13" x14ac:dyDescent="0.25">
      <c r="A33" s="345"/>
      <c r="B33" s="107" t="str">
        <f>'Data For Analysis'!B12</f>
        <v>2.d.</v>
      </c>
      <c r="C33" s="262" t="str">
        <f>'Data For Analysis'!C12</f>
        <v>Indirect</v>
      </c>
      <c r="D33" s="258">
        <f>AVERAGE('Task Durations'!D12:CM12)</f>
        <v>1.0530189393939393</v>
      </c>
      <c r="E33" s="38">
        <f>AVERAGEIF('Task Durations'!$D$41:$CM$41,"Large",'Task Durations'!$D12:$CM12)</f>
        <v>0.78952727272727263</v>
      </c>
      <c r="F33" s="38">
        <f>AVERAGEIF('Task Durations'!$D$41:$CM$41,"Medium",'Task Durations'!$D12:$CM12)</f>
        <v>1.1266252873563218</v>
      </c>
      <c r="G33" s="40">
        <f>AVERAGEIF('Task Durations'!$D$41:$CM$41,"Small",'Task Durations'!$D12:$CM12)</f>
        <v>1.3467430555555557</v>
      </c>
      <c r="H33"/>
      <c r="I33"/>
      <c r="J33"/>
      <c r="K33"/>
      <c r="L33" s="1"/>
      <c r="M33" s="1"/>
    </row>
    <row r="34" spans="1:13" ht="15.75" thickBot="1" x14ac:dyDescent="0.3">
      <c r="A34" s="346"/>
      <c r="B34" s="107" t="str">
        <f>'Data For Analysis'!B13</f>
        <v>2.e.</v>
      </c>
      <c r="C34" s="262" t="str">
        <f>'Data For Analysis'!C13</f>
        <v>Indirect</v>
      </c>
      <c r="D34" s="258">
        <f>AVERAGE('Task Durations'!D13:CM13)</f>
        <v>0.89568106060606079</v>
      </c>
      <c r="E34" s="38">
        <f>AVERAGEIF('Task Durations'!$D$41:$CM$41,"Large",'Task Durations'!$D13:$CM13)</f>
        <v>0.88562323232323226</v>
      </c>
      <c r="F34" s="38">
        <f>AVERAGEIF('Task Durations'!$D$41:$CM$41,"Medium",'Task Durations'!$D13:$CM13)</f>
        <v>0.89460114942528746</v>
      </c>
      <c r="G34" s="40">
        <f>AVERAGEIF('Task Durations'!$D$41:$CM$41,"Small",'Task Durations'!$D13:$CM13)</f>
        <v>0.97505138888888909</v>
      </c>
      <c r="H34"/>
      <c r="I34"/>
      <c r="J34"/>
      <c r="K34"/>
      <c r="L34" s="1"/>
      <c r="M34" s="1"/>
    </row>
    <row r="35" spans="1:13" x14ac:dyDescent="0.25">
      <c r="B35" s="107" t="str">
        <f>'Data For Analysis'!B14</f>
        <v>2.f.</v>
      </c>
      <c r="C35" s="262" t="str">
        <f>'Data For Analysis'!C14</f>
        <v>Indirect</v>
      </c>
      <c r="D35" s="258">
        <f>AVERAGE('Task Durations'!D14:CM14)</f>
        <v>0.98730189393939416</v>
      </c>
      <c r="E35" s="38">
        <f>AVERAGEIF('Task Durations'!$D$41:$CM$41,"Large",'Task Durations'!$D14:$CM14)</f>
        <v>1.0738383838383838</v>
      </c>
      <c r="F35" s="38">
        <f>AVERAGEIF('Task Durations'!$D$41:$CM$41,"Medium",'Task Durations'!$D14:$CM14)</f>
        <v>1.0024034482758619</v>
      </c>
      <c r="G35" s="40">
        <f>AVERAGEIF('Task Durations'!$D$41:$CM$41,"Small",'Task Durations'!$D14:$CM14)</f>
        <v>0.92121666666666691</v>
      </c>
      <c r="H35"/>
      <c r="I35"/>
      <c r="J35"/>
      <c r="K35"/>
      <c r="L35" s="1"/>
      <c r="M35" s="1"/>
    </row>
    <row r="36" spans="1:13" x14ac:dyDescent="0.25">
      <c r="B36" s="107" t="str">
        <f>'Data For Analysis'!B15</f>
        <v>2.g.</v>
      </c>
      <c r="C36" s="262" t="str">
        <f>'Data For Analysis'!C15</f>
        <v>Indirect</v>
      </c>
      <c r="D36" s="258">
        <f>AVERAGE('Task Durations'!D15:CM15)</f>
        <v>0.90119507575757563</v>
      </c>
      <c r="E36" s="38">
        <f>AVERAGEIF('Task Durations'!$D$41:$CM$41,"Large",'Task Durations'!$D15:$CM15)</f>
        <v>0.69079393939393929</v>
      </c>
      <c r="F36" s="38">
        <f>AVERAGEIF('Task Durations'!$D$41:$CM$41,"Medium",'Task Durations'!$D15:$CM15)</f>
        <v>1.0894114942528736</v>
      </c>
      <c r="G36" s="40">
        <f>AVERAGEIF('Task Durations'!$D$41:$CM$41,"Small",'Task Durations'!$D15:$CM15)</f>
        <v>1.0381680555555555</v>
      </c>
      <c r="H36"/>
      <c r="I36"/>
      <c r="J36"/>
      <c r="K36"/>
      <c r="L36" s="1"/>
      <c r="M36" s="1"/>
    </row>
    <row r="37" spans="1:13" x14ac:dyDescent="0.25">
      <c r="B37" s="107" t="str">
        <f>'Data For Analysis'!B16</f>
        <v>3.b.</v>
      </c>
      <c r="C37" s="262" t="str">
        <f>'Data For Analysis'!C16</f>
        <v>Travel (Internal)</v>
      </c>
      <c r="D37" s="258">
        <f>AVERAGE('Task Durations'!D16:CM16)</f>
        <v>0.7146810606060604</v>
      </c>
      <c r="E37" s="38">
        <f>AVERAGEIF('Task Durations'!$D$41:$CM$41,"Large",'Task Durations'!$D16:$CM16)</f>
        <v>1.282282828282828</v>
      </c>
      <c r="F37" s="38">
        <f>AVERAGEIF('Task Durations'!$D$41:$CM$41,"Medium",'Task Durations'!$D16:$CM16)</f>
        <v>0.25343103448275861</v>
      </c>
      <c r="G37" s="40">
        <f>AVERAGEIF('Task Durations'!$D$41:$CM$41,"Small",'Task Durations'!$D16:$CM16)</f>
        <v>0.53862916666666683</v>
      </c>
      <c r="H37"/>
      <c r="I37"/>
      <c r="J37"/>
      <c r="K37"/>
      <c r="L37" s="1"/>
      <c r="M37" s="1"/>
    </row>
    <row r="38" spans="1:13" x14ac:dyDescent="0.25">
      <c r="B38" s="107" t="str">
        <f>'Data For Analysis'!B17</f>
        <v>3.c.</v>
      </c>
      <c r="C38" s="262" t="str">
        <f>'Data For Analysis'!C17</f>
        <v>Direct</v>
      </c>
      <c r="D38" s="258">
        <f>AVERAGE('Task Durations'!D17:CM17)</f>
        <v>1.6419715909090911</v>
      </c>
      <c r="E38" s="38">
        <f>AVERAGEIF('Task Durations'!$D$41:$CM$41,"Large",'Task Durations'!$D17:$CM17)</f>
        <v>2.3161828282828285</v>
      </c>
      <c r="F38" s="38">
        <f>AVERAGEIF('Task Durations'!$D$41:$CM$41,"Medium",'Task Durations'!$D17:$CM17)</f>
        <v>1.2236620689655171</v>
      </c>
      <c r="G38" s="40">
        <f>AVERAGEIF('Task Durations'!$D$41:$CM$41,"Small",'Task Durations'!$D17:$CM17)</f>
        <v>1.1363861111111111</v>
      </c>
      <c r="H38"/>
      <c r="I38"/>
      <c r="J38"/>
      <c r="K38"/>
      <c r="L38" s="1"/>
      <c r="M38" s="1"/>
    </row>
    <row r="39" spans="1:13" x14ac:dyDescent="0.25">
      <c r="B39" s="107" t="str">
        <f>'Data For Analysis'!B18</f>
        <v>3.d.</v>
      </c>
      <c r="C39" s="262" t="str">
        <f>'Data For Analysis'!C18</f>
        <v>Travel (Internal)</v>
      </c>
      <c r="D39" s="258">
        <f>AVERAGE('Task Durations'!D18:CM18)</f>
        <v>1.6447943181818183</v>
      </c>
      <c r="E39" s="38">
        <f>AVERAGEIF('Task Durations'!$D$41:$CM$41,"Large",'Task Durations'!$D18:$CM18)</f>
        <v>2.7085838383838388</v>
      </c>
      <c r="F39" s="38">
        <f>AVERAGEIF('Task Durations'!$D$41:$CM$41,"Medium",'Task Durations'!$D18:$CM18)</f>
        <v>1.2170000000000001</v>
      </c>
      <c r="G39" s="40">
        <f>AVERAGEIF('Task Durations'!$D$41:$CM$41,"Small",'Task Durations'!$D18:$CM18)</f>
        <v>0.75690138888888869</v>
      </c>
      <c r="H39"/>
      <c r="I39"/>
      <c r="J39"/>
      <c r="K39"/>
      <c r="L39" s="1"/>
      <c r="M39" s="1"/>
    </row>
    <row r="40" spans="1:13" x14ac:dyDescent="0.25">
      <c r="B40" s="107" t="str">
        <f>'Data For Analysis'!B19</f>
        <v>3.e.</v>
      </c>
      <c r="C40" s="262" t="str">
        <f>'Data For Analysis'!C19</f>
        <v>Direct</v>
      </c>
      <c r="D40" s="258">
        <f>AVERAGE('Task Durations'!D19:CM19)</f>
        <v>4.6401704545454541</v>
      </c>
      <c r="E40" s="38">
        <f>AVERAGEIF('Task Durations'!$D$41:$CM$41,"Large",'Task Durations'!$D19:$CM19)</f>
        <v>4.8639303030303029</v>
      </c>
      <c r="F40" s="38">
        <f>AVERAGEIF('Task Durations'!$D$41:$CM$41,"Medium",'Task Durations'!$D19:$CM19)</f>
        <v>4.569872413793103</v>
      </c>
      <c r="G40" s="40">
        <f>AVERAGEIF('Task Durations'!$D$41:$CM$41,"Small",'Task Durations'!$D19:$CM19)</f>
        <v>4.5895416666666664</v>
      </c>
      <c r="H40"/>
      <c r="I40"/>
      <c r="J40"/>
      <c r="K40"/>
      <c r="L40" s="1"/>
      <c r="M40" s="1"/>
    </row>
    <row r="41" spans="1:13" x14ac:dyDescent="0.25">
      <c r="B41" s="107" t="str">
        <f>'Data For Analysis'!B20</f>
        <v>3.f.</v>
      </c>
      <c r="C41" s="262" t="str">
        <f>'Data For Analysis'!C20</f>
        <v>Direct</v>
      </c>
      <c r="D41" s="258">
        <f>AVERAGE('Task Durations'!D20:CM20)</f>
        <v>25.820344696969702</v>
      </c>
      <c r="E41" s="38">
        <f>AVERAGEIF('Task Durations'!$D$41:$CM$41,"Large",'Task Durations'!$D20:$CM20)</f>
        <v>28.078201010101008</v>
      </c>
      <c r="F41" s="38">
        <f>AVERAGEIF('Task Durations'!$D$41:$CM$41,"Medium",'Task Durations'!$D20:$CM20)</f>
        <v>26.613863218390801</v>
      </c>
      <c r="G41" s="40">
        <f>AVERAGEIF('Task Durations'!$D$41:$CM$41,"Small",'Task Durations'!$D20:$CM20)</f>
        <v>21.989902777777775</v>
      </c>
      <c r="H41"/>
      <c r="I41"/>
      <c r="J41"/>
      <c r="K41"/>
      <c r="L41" s="1"/>
      <c r="M41" s="1"/>
    </row>
    <row r="42" spans="1:13" x14ac:dyDescent="0.25">
      <c r="B42" s="107" t="str">
        <f>'Data For Analysis'!B21</f>
        <v>3.g.</v>
      </c>
      <c r="C42" s="262" t="str">
        <f>'Data For Analysis'!C21</f>
        <v>Direct</v>
      </c>
      <c r="D42" s="258">
        <f>AVERAGE('Task Durations'!D21:CM21)</f>
        <v>1.7289212121212123</v>
      </c>
      <c r="E42" s="38">
        <f>AVERAGEIF('Task Durations'!$D$41:$CM$41,"Large",'Task Durations'!$D21:$CM21)</f>
        <v>1.8873131313131311</v>
      </c>
      <c r="F42" s="38">
        <f>AVERAGEIF('Task Durations'!$D$41:$CM$41,"Medium",'Task Durations'!$D21:$CM21)</f>
        <v>1.2699068965517246</v>
      </c>
      <c r="G42" s="40">
        <f>AVERAGEIF('Task Durations'!$D$41:$CM$41,"Small",'Task Durations'!$D21:$CM21)</f>
        <v>1.8668097222222222</v>
      </c>
      <c r="H42"/>
      <c r="I42"/>
      <c r="J42"/>
      <c r="K42"/>
      <c r="L42" s="1"/>
      <c r="M42" s="1"/>
    </row>
    <row r="43" spans="1:13" x14ac:dyDescent="0.25">
      <c r="B43" s="107" t="str">
        <f>'Data For Analysis'!B22</f>
        <v>3.h.</v>
      </c>
      <c r="C43" s="262" t="str">
        <f>'Data For Analysis'!C22</f>
        <v>Travel (Internal)</v>
      </c>
      <c r="D43" s="258">
        <f>AVERAGE('Task Durations'!D22:CM22)</f>
        <v>2.2108621212121204</v>
      </c>
      <c r="E43" s="38">
        <f>AVERAGEIF('Task Durations'!$D$41:$CM$41,"Large",'Task Durations'!$D22:$CM22)</f>
        <v>3.2010717171717173</v>
      </c>
      <c r="F43" s="38">
        <f>AVERAGEIF('Task Durations'!$D$41:$CM$41,"Medium",'Task Durations'!$D22:$CM22)</f>
        <v>1.6942965517241384</v>
      </c>
      <c r="G43" s="40">
        <f>AVERAGEIF('Task Durations'!$D$41:$CM$41,"Small",'Task Durations'!$D22:$CM22)</f>
        <v>1.522329166666667</v>
      </c>
      <c r="H43"/>
      <c r="I43"/>
      <c r="J43"/>
      <c r="K43"/>
      <c r="L43" s="1"/>
      <c r="M43" s="1"/>
    </row>
    <row r="44" spans="1:13" x14ac:dyDescent="0.25">
      <c r="B44" s="107" t="str">
        <f>'Data For Analysis'!B23</f>
        <v>3.i.</v>
      </c>
      <c r="C44" s="262" t="str">
        <f>'Data For Analysis'!C23</f>
        <v>Direct</v>
      </c>
      <c r="D44" s="258">
        <f>AVERAGE('Task Durations'!D23:CM23)</f>
        <v>2.2886212121212122</v>
      </c>
      <c r="E44" s="38">
        <f>AVERAGEIF('Task Durations'!$D$41:$CM$41,"Large",'Task Durations'!$D23:$CM23)</f>
        <v>2.635705050505051</v>
      </c>
      <c r="F44" s="38">
        <f>AVERAGEIF('Task Durations'!$D$41:$CM$41,"Medium",'Task Durations'!$D23:$CM23)</f>
        <v>2.7041172413793091</v>
      </c>
      <c r="G44" s="40">
        <f>AVERAGEIF('Task Durations'!$D$41:$CM$41,"Small",'Task Durations'!$D23:$CM23)</f>
        <v>1.3694999999999997</v>
      </c>
      <c r="H44"/>
      <c r="I44"/>
      <c r="J44"/>
      <c r="K44"/>
      <c r="L44" s="1"/>
      <c r="M44" s="1"/>
    </row>
    <row r="45" spans="1:13" x14ac:dyDescent="0.25">
      <c r="B45" s="107" t="str">
        <f>'Data For Analysis'!B24</f>
        <v>4.b.</v>
      </c>
      <c r="C45" s="262" t="str">
        <f>'Data For Analysis'!C24</f>
        <v>Indirect</v>
      </c>
      <c r="D45" s="258">
        <f>AVERAGE('Task Durations'!D24:CM24)</f>
        <v>1.7251856060606066</v>
      </c>
      <c r="E45" s="38">
        <f>AVERAGEIF('Task Durations'!$D$41:$CM$41,"Large",'Task Durations'!$D24:$CM24)</f>
        <v>1.414949494949495</v>
      </c>
      <c r="F45" s="38">
        <f>AVERAGEIF('Task Durations'!$D$41:$CM$41,"Medium",'Task Durations'!$D24:$CM24)</f>
        <v>1.817241379310345</v>
      </c>
      <c r="G45" s="40">
        <f>AVERAGEIF('Task Durations'!$D$41:$CM$41,"Small",'Task Durations'!$D24:$CM24)</f>
        <v>2.0259583333333335</v>
      </c>
      <c r="H45"/>
      <c r="I45"/>
      <c r="J45"/>
      <c r="K45"/>
      <c r="L45" s="1"/>
      <c r="M45" s="1"/>
    </row>
    <row r="46" spans="1:13" x14ac:dyDescent="0.25">
      <c r="B46" s="107" t="str">
        <f>'Data For Analysis'!B25</f>
        <v>4.c.</v>
      </c>
      <c r="C46" s="262" t="str">
        <f>'Data For Analysis'!C25</f>
        <v>Indirect</v>
      </c>
      <c r="D46" s="258">
        <f>AVERAGE('Task Durations'!D25:CM25)</f>
        <v>1.0125333333333335</v>
      </c>
      <c r="E46" s="38">
        <f>AVERAGEIF('Task Durations'!$D$41:$CM$41,"Large",'Task Durations'!$D25:$CM25)</f>
        <v>0.93833131313131291</v>
      </c>
      <c r="F46" s="38">
        <f>AVERAGEIF('Task Durations'!$D$41:$CM$41,"Medium",'Task Durations'!$D25:$CM25)</f>
        <v>1.0098620689655173</v>
      </c>
      <c r="G46" s="40">
        <f>AVERAGEIF('Task Durations'!$D$41:$CM$41,"Small",'Task Durations'!$D25:$CM25)</f>
        <v>1.0834166666666667</v>
      </c>
      <c r="H46"/>
      <c r="I46"/>
      <c r="J46"/>
      <c r="K46"/>
      <c r="L46" s="1"/>
      <c r="M46" s="1"/>
    </row>
    <row r="47" spans="1:13" x14ac:dyDescent="0.25">
      <c r="B47" s="107" t="str">
        <f>'Data For Analysis'!B26</f>
        <v>4.d.</v>
      </c>
      <c r="C47" s="262" t="str">
        <f>'Data For Analysis'!C26</f>
        <v>Indirect</v>
      </c>
      <c r="D47" s="258">
        <f>AVERAGE('Task Durations'!D26:CM26)</f>
        <v>0.64044810606060631</v>
      </c>
      <c r="E47" s="38">
        <f>AVERAGEIF('Task Durations'!$D$41:$CM$41,"Large",'Task Durations'!$D26:$CM26)</f>
        <v>0.57391717171717183</v>
      </c>
      <c r="F47" s="38">
        <f>AVERAGEIF('Task Durations'!$D$41:$CM$41,"Medium",'Task Durations'!$D26:$CM26)</f>
        <v>0.72658160919540227</v>
      </c>
      <c r="G47" s="40">
        <f>AVERAGEIF('Task Durations'!$D$41:$CM$41,"Small",'Task Durations'!$D26:$CM26)</f>
        <v>0.64930416666666657</v>
      </c>
      <c r="H47"/>
      <c r="I47"/>
      <c r="J47"/>
      <c r="K47"/>
      <c r="L47" s="1"/>
      <c r="M47" s="1"/>
    </row>
    <row r="48" spans="1:13" x14ac:dyDescent="0.25">
      <c r="B48" s="107" t="str">
        <f>'Data For Analysis'!B27</f>
        <v>4.e.</v>
      </c>
      <c r="C48" s="262" t="str">
        <f>'Data For Analysis'!C27</f>
        <v>Indirect</v>
      </c>
      <c r="D48" s="258">
        <f>AVERAGE('Task Durations'!D27:CM27)</f>
        <v>0.73617765151515158</v>
      </c>
      <c r="E48" s="38">
        <f>AVERAGEIF('Task Durations'!$D$41:$CM$41,"Large",'Task Durations'!$D27:$CM27)</f>
        <v>0.75450707070707068</v>
      </c>
      <c r="F48" s="38">
        <f>AVERAGEIF('Task Durations'!$D$41:$CM$41,"Medium",'Task Durations'!$D27:$CM27)</f>
        <v>0.69530000000000003</v>
      </c>
      <c r="G48" s="40">
        <f>AVERAGEIF('Task Durations'!$D$41:$CM$41,"Small",'Task Durations'!$D27:$CM27)</f>
        <v>0.78627083333333359</v>
      </c>
      <c r="H48"/>
      <c r="I48"/>
      <c r="J48"/>
      <c r="K48"/>
      <c r="L48" s="1"/>
      <c r="M48" s="1"/>
    </row>
    <row r="49" spans="2:13" x14ac:dyDescent="0.25">
      <c r="B49" s="107" t="str">
        <f>'Data For Analysis'!B28</f>
        <v>4.f.</v>
      </c>
      <c r="C49" s="262" t="str">
        <f>'Data For Analysis'!C28</f>
        <v>Indirect</v>
      </c>
      <c r="D49" s="258">
        <f>AVERAGE('Task Durations'!D28:CM28)</f>
        <v>0.55297727272727271</v>
      </c>
      <c r="E49" s="38">
        <f>AVERAGEIF('Task Durations'!$D$41:$CM$41,"Large",'Task Durations'!$D28:$CM28)</f>
        <v>0.47918383838383849</v>
      </c>
      <c r="F49" s="38">
        <f>AVERAGEIF('Task Durations'!$D$41:$CM$41,"Medium",'Task Durations'!$D28:$CM28)</f>
        <v>0.60952873563218379</v>
      </c>
      <c r="G49" s="40">
        <f>AVERAGEIF('Task Durations'!$D$41:$CM$41,"Small",'Task Durations'!$D28:$CM28)</f>
        <v>0.61692916666666653</v>
      </c>
      <c r="H49"/>
      <c r="I49"/>
      <c r="J49"/>
      <c r="K49"/>
      <c r="L49" s="1"/>
      <c r="M49" s="1"/>
    </row>
    <row r="50" spans="2:13" x14ac:dyDescent="0.25">
      <c r="B50" s="107" t="str">
        <f>'Data For Analysis'!B29</f>
        <v>4.g.</v>
      </c>
      <c r="C50" s="262" t="str">
        <f>'Data For Analysis'!C29</f>
        <v>Indirect</v>
      </c>
      <c r="D50" s="258">
        <f>AVERAGE('Task Durations'!D29:CM29)</f>
        <v>0.80802954545454542</v>
      </c>
      <c r="E50" s="38">
        <f>AVERAGEIF('Task Durations'!$D$41:$CM$41,"Large",'Task Durations'!$D29:$CM29)</f>
        <v>0.61926363636363624</v>
      </c>
      <c r="F50" s="38">
        <f>AVERAGEIF('Task Durations'!$D$41:$CM$41,"Medium",'Task Durations'!$D29:$CM29)</f>
        <v>1.1000137931034482</v>
      </c>
      <c r="G50" s="40">
        <f>AVERAGEIF('Task Durations'!$D$41:$CM$41,"Small",'Task Durations'!$D29:$CM29)</f>
        <v>0.70777083333333357</v>
      </c>
      <c r="H50"/>
      <c r="I50"/>
      <c r="J50"/>
      <c r="K50"/>
      <c r="L50" s="1"/>
      <c r="M50" s="1"/>
    </row>
    <row r="51" spans="2:13" x14ac:dyDescent="0.25">
      <c r="B51" s="107" t="str">
        <f>'Data For Analysis'!B30</f>
        <v>4.h.</v>
      </c>
      <c r="C51" s="262" t="str">
        <f>'Data For Analysis'!C30</f>
        <v>Indirect</v>
      </c>
      <c r="D51" s="258">
        <f>AVERAGE('Task Durations'!D30:CM30)</f>
        <v>0.59554659090909112</v>
      </c>
      <c r="E51" s="38">
        <f>AVERAGEIF('Task Durations'!$D$41:$CM$41,"Large",'Task Durations'!$D30:$CM30)</f>
        <v>0.52293535353535336</v>
      </c>
      <c r="F51" s="38">
        <f>AVERAGEIF('Task Durations'!$D$41:$CM$41,"Medium",'Task Durations'!$D30:$CM30)</f>
        <v>0.64725402298850576</v>
      </c>
      <c r="G51" s="40">
        <f>AVERAGEIF('Task Durations'!$D$41:$CM$41,"Small",'Task Durations'!$D30:$CM30)</f>
        <v>0.66936944444444435</v>
      </c>
      <c r="H51"/>
      <c r="I51"/>
      <c r="J51"/>
      <c r="K51"/>
      <c r="L51" s="1"/>
      <c r="M51" s="1"/>
    </row>
    <row r="52" spans="2:13" x14ac:dyDescent="0.25">
      <c r="B52" s="107" t="str">
        <f>'Data For Analysis'!B31</f>
        <v>4.i.</v>
      </c>
      <c r="C52" s="262" t="str">
        <f>'Data For Analysis'!C31</f>
        <v>Indirect</v>
      </c>
      <c r="D52" s="258">
        <f>AVERAGE('Task Durations'!D31:CM31)</f>
        <v>2.1144026515151513</v>
      </c>
      <c r="E52" s="38">
        <f>AVERAGEIF('Task Durations'!$D$41:$CM$41,"Large",'Task Durations'!$D31:$CM31)</f>
        <v>2.0485252525252524</v>
      </c>
      <c r="F52" s="38">
        <f>AVERAGEIF('Task Durations'!$D$41:$CM$41,"Medium",'Task Durations'!$D31:$CM31)</f>
        <v>2.1530712643678158</v>
      </c>
      <c r="G52" s="40">
        <f>AVERAGEIF('Task Durations'!$D$41:$CM$41,"Small",'Task Durations'!$D31:$CM31)</f>
        <v>2.2379180555555549</v>
      </c>
      <c r="H52"/>
      <c r="I52"/>
      <c r="J52"/>
      <c r="K52"/>
      <c r="L52" s="1"/>
      <c r="M52" s="1"/>
    </row>
    <row r="53" spans="2:13" x14ac:dyDescent="0.25">
      <c r="B53" s="107" t="str">
        <f>'Data For Analysis'!B32</f>
        <v>4.j.</v>
      </c>
      <c r="C53" s="262" t="str">
        <f>'Data For Analysis'!C32</f>
        <v>Travel (Internal)</v>
      </c>
      <c r="D53" s="258">
        <f>AVERAGE('Task Durations'!D32:CM32)</f>
        <v>0.64670340909090918</v>
      </c>
      <c r="E53" s="38">
        <f>AVERAGEIF('Task Durations'!$D$41:$CM$41,"Large",'Task Durations'!$D32:$CM32)</f>
        <v>0.54680000000000006</v>
      </c>
      <c r="F53" s="38">
        <f>AVERAGEIF('Task Durations'!$D$41:$CM$41,"Medium",'Task Durations'!$D32:$CM32)</f>
        <v>0.63675747126436777</v>
      </c>
      <c r="G53" s="40">
        <f>AVERAGEIF('Task Durations'!$D$41:$CM$41,"Small",'Task Durations'!$D32:$CM32)</f>
        <v>0.84443888888888896</v>
      </c>
      <c r="H53"/>
      <c r="I53"/>
      <c r="J53"/>
      <c r="K53"/>
      <c r="L53" s="1"/>
      <c r="M53" s="1"/>
    </row>
    <row r="54" spans="2:13" x14ac:dyDescent="0.25">
      <c r="B54" s="107" t="str">
        <f>'Data For Analysis'!B33</f>
        <v>4.k.</v>
      </c>
      <c r="C54" s="262" t="str">
        <f>'Data For Analysis'!C33</f>
        <v>Indirect</v>
      </c>
      <c r="D54" s="258">
        <f>AVERAGE('Task Durations'!D33:CM33)</f>
        <v>7.8978549242424227</v>
      </c>
      <c r="E54" s="38">
        <f>AVERAGEIF('Task Durations'!$D$41:$CM$41,"Large",'Task Durations'!$D33:$CM33)</f>
        <v>7.4135989898989898</v>
      </c>
      <c r="F54" s="38">
        <f>AVERAGEIF('Task Durations'!$D$41:$CM$41,"Medium",'Task Durations'!$D33:$CM33)</f>
        <v>8.7851011494252855</v>
      </c>
      <c r="G54" s="40">
        <f>AVERAGEIF('Task Durations'!$D$41:$CM$41,"Small",'Task Durations'!$D33:$CM33)</f>
        <v>7.8115638888888874</v>
      </c>
      <c r="H54"/>
      <c r="I54"/>
      <c r="J54"/>
      <c r="K54"/>
      <c r="L54" s="1"/>
      <c r="M54" s="1"/>
    </row>
    <row r="55" spans="2:13" x14ac:dyDescent="0.25">
      <c r="B55" s="107" t="str">
        <f>'Data For Analysis'!B34</f>
        <v>4.l.1</v>
      </c>
      <c r="C55" s="262" t="str">
        <f>'Data For Analysis'!C34</f>
        <v>Travel (Internal)</v>
      </c>
      <c r="D55" s="258">
        <f>AVERAGE('Task Durations'!D34:CM34)</f>
        <v>1.361239015151515</v>
      </c>
      <c r="E55" s="38">
        <f>AVERAGEIF('Task Durations'!$D$41:$CM$41,"Large",'Task Durations'!$D34:$CM34)</f>
        <v>1.1196141414141414</v>
      </c>
      <c r="F55" s="38">
        <f>AVERAGEIF('Task Durations'!$D$41:$CM$41,"Medium",'Task Durations'!$D34:$CM34)</f>
        <v>2.1458160919540226</v>
      </c>
      <c r="G55" s="40">
        <f>AVERAGEIF('Task Durations'!$D$41:$CM$41,"Small",'Task Durations'!$D34:$CM34)</f>
        <v>0.84846250000000045</v>
      </c>
      <c r="H55"/>
      <c r="I55"/>
      <c r="J55"/>
      <c r="K55"/>
      <c r="L55" s="1"/>
      <c r="M55" s="1"/>
    </row>
    <row r="56" spans="2:13" ht="15.75" thickBot="1" x14ac:dyDescent="0.3">
      <c r="B56" s="41" t="str">
        <f>'Data For Analysis'!B35</f>
        <v>4.l.2</v>
      </c>
      <c r="C56" s="263" t="str">
        <f>'Data For Analysis'!C35</f>
        <v>Travel (External) - Distance</v>
      </c>
      <c r="D56" s="259">
        <f>AVERAGE('Task Durations'!D35:CM35)</f>
        <v>28.75</v>
      </c>
      <c r="E56" s="42">
        <f>AVERAGEIF('Task Durations'!$D$41:$CM$41,"Large",'Task Durations'!$D35:$CM35)</f>
        <v>23.5</v>
      </c>
      <c r="F56" s="42">
        <f>AVERAGEIF('Task Durations'!$D$41:$CM$41,"Medium",'Task Durations'!$D35:$CM35)</f>
        <v>14.041666666666666</v>
      </c>
      <c r="G56" s="43">
        <f>AVERAGEIF('Task Durations'!$D$41:$CM$41,"Small",'Task Durations'!$D35:$CM35)</f>
        <v>61.666666666666664</v>
      </c>
      <c r="H56"/>
      <c r="I56"/>
      <c r="J56"/>
      <c r="K56"/>
    </row>
    <row r="57" spans="2:13" x14ac:dyDescent="0.25">
      <c r="H57"/>
      <c r="I57"/>
      <c r="J57"/>
      <c r="K57"/>
    </row>
  </sheetData>
  <mergeCells count="2">
    <mergeCell ref="A1:A34"/>
    <mergeCell ref="B29:G29"/>
  </mergeCells>
  <conditionalFormatting sqref="E57:E1048576">
    <cfRule type="cellIs" dxfId="0" priority="10" operator="greaterThan">
      <formula>#REF!</formula>
    </cfRule>
  </conditionalFormatting>
  <pageMargins left="0.7" right="0.7" top="0.75" bottom="0.75" header="0.3" footer="0.3"/>
  <pageSetup orientation="portrait" horizontalDpi="4294967293"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
  <sheetViews>
    <sheetView workbookViewId="0">
      <selection activeCell="G19" sqref="G19"/>
    </sheetView>
  </sheetViews>
  <sheetFormatPr defaultRowHeight="15.75" thickBottom="1" x14ac:dyDescent="0.3"/>
  <cols>
    <col min="1" max="1" width="25.140625" customWidth="1"/>
    <col min="2" max="2" width="6.5703125" style="214" customWidth="1"/>
    <col min="3" max="3" width="20" bestFit="1" customWidth="1"/>
    <col min="4" max="4" width="7.28515625" customWidth="1"/>
    <col min="5" max="5" width="18.140625" bestFit="1" customWidth="1"/>
    <col min="6" max="6" width="14.7109375" bestFit="1" customWidth="1"/>
    <col min="7" max="7" width="18.140625" bestFit="1" customWidth="1"/>
    <col min="8" max="8" width="17.42578125" bestFit="1" customWidth="1"/>
    <col min="9" max="9" width="18.140625" bestFit="1" customWidth="1"/>
    <col min="10" max="10" width="14.28515625" customWidth="1"/>
    <col min="14" max="14" width="17.42578125" bestFit="1" customWidth="1"/>
  </cols>
  <sheetData>
    <row r="1" spans="1:17" ht="16.5" thickBot="1" x14ac:dyDescent="0.3">
      <c r="A1" s="344" t="s">
        <v>357</v>
      </c>
      <c r="B1" s="212"/>
      <c r="C1" s="362" t="s">
        <v>101</v>
      </c>
      <c r="D1" s="363"/>
      <c r="E1" s="363"/>
      <c r="F1" s="363"/>
      <c r="G1" s="363"/>
      <c r="H1" s="364"/>
    </row>
    <row r="2" spans="1:17" ht="15" x14ac:dyDescent="0.25">
      <c r="A2" s="345"/>
      <c r="B2" s="213"/>
      <c r="C2" s="371" t="s">
        <v>7</v>
      </c>
      <c r="D2" s="372"/>
      <c r="E2" s="373" t="s">
        <v>8</v>
      </c>
      <c r="F2" s="372"/>
      <c r="G2" s="373" t="s">
        <v>9</v>
      </c>
      <c r="H2" s="374"/>
    </row>
    <row r="3" spans="1:17" ht="15" x14ac:dyDescent="0.25">
      <c r="A3" s="345"/>
      <c r="B3" s="213"/>
      <c r="C3" s="137" t="s">
        <v>88</v>
      </c>
      <c r="D3" s="124">
        <f>'Descriptive Stats'!C13</f>
        <v>36.120029166666676</v>
      </c>
      <c r="E3" s="124" t="s">
        <v>88</v>
      </c>
      <c r="F3" s="124">
        <f>'Descriptive Stats'!E13</f>
        <v>21.872345075757575</v>
      </c>
      <c r="G3" s="124" t="s">
        <v>88</v>
      </c>
      <c r="H3" s="126">
        <f>'Descriptive Stats'!G13</f>
        <v>6.5782799242424224</v>
      </c>
    </row>
    <row r="4" spans="1:17" ht="15" x14ac:dyDescent="0.25">
      <c r="A4" s="345"/>
      <c r="B4" s="213"/>
      <c r="C4" s="137" t="s">
        <v>92</v>
      </c>
      <c r="D4" s="124">
        <f>'Descriptive Stats'!C17</f>
        <v>13.731805037276875</v>
      </c>
      <c r="E4" s="124" t="s">
        <v>92</v>
      </c>
      <c r="F4" s="124">
        <f>'Descriptive Stats'!E17</f>
        <v>7.6069753235117599</v>
      </c>
      <c r="G4" s="124" t="s">
        <v>92</v>
      </c>
      <c r="H4" s="126">
        <f>'Descriptive Stats'!G17</f>
        <v>5.5855974143333533</v>
      </c>
    </row>
    <row r="5" spans="1:17" thickBot="1" x14ac:dyDescent="0.3">
      <c r="A5" s="345"/>
      <c r="B5" s="213"/>
      <c r="C5" s="138" t="s">
        <v>105</v>
      </c>
      <c r="D5" s="139">
        <f>'Descriptive Stats'!C25</f>
        <v>88</v>
      </c>
      <c r="E5" s="139" t="s">
        <v>105</v>
      </c>
      <c r="F5" s="139">
        <f>'Descriptive Stats'!E25</f>
        <v>88</v>
      </c>
      <c r="G5" s="139" t="s">
        <v>105</v>
      </c>
      <c r="H5" s="140">
        <f>'Descriptive Stats'!G25</f>
        <v>88</v>
      </c>
    </row>
    <row r="6" spans="1:17" ht="15" x14ac:dyDescent="0.25">
      <c r="A6" s="345"/>
      <c r="B6" s="213"/>
    </row>
    <row r="7" spans="1:17" ht="15" x14ac:dyDescent="0.25">
      <c r="A7" s="345"/>
      <c r="B7" s="213"/>
    </row>
    <row r="8" spans="1:17" thickBot="1" x14ac:dyDescent="0.3">
      <c r="A8" s="345"/>
      <c r="B8" s="213"/>
    </row>
    <row r="9" spans="1:17" ht="19.5" thickBot="1" x14ac:dyDescent="0.35">
      <c r="A9" s="345"/>
      <c r="B9" s="213"/>
      <c r="C9" s="375" t="s">
        <v>346</v>
      </c>
      <c r="D9" s="322"/>
      <c r="E9" s="322"/>
      <c r="F9" s="322"/>
      <c r="G9" s="323"/>
      <c r="I9" s="369" t="s">
        <v>343</v>
      </c>
      <c r="J9" s="370"/>
    </row>
    <row r="10" spans="1:17" ht="15" x14ac:dyDescent="0.25">
      <c r="A10" s="345"/>
      <c r="B10" s="213"/>
      <c r="C10" s="113" t="s">
        <v>273</v>
      </c>
      <c r="D10" s="209">
        <v>95</v>
      </c>
      <c r="E10" s="210" t="s">
        <v>347</v>
      </c>
      <c r="F10" s="279"/>
      <c r="G10" s="211"/>
      <c r="H10" s="21"/>
      <c r="I10" s="365" t="s">
        <v>344</v>
      </c>
      <c r="J10" s="366"/>
      <c r="N10" s="202"/>
      <c r="O10" s="202"/>
      <c r="P10" s="202"/>
      <c r="Q10" s="202"/>
    </row>
    <row r="11" spans="1:17" ht="15.75" customHeight="1" thickBot="1" x14ac:dyDescent="0.3">
      <c r="A11" s="345"/>
      <c r="B11" s="213"/>
      <c r="C11" s="52" t="s">
        <v>256</v>
      </c>
      <c r="D11" s="31">
        <f>VLOOKUP(D10,I13:J15,2,FALSE )</f>
        <v>1.96</v>
      </c>
      <c r="E11" s="31"/>
      <c r="F11" s="280"/>
      <c r="G11" s="147"/>
      <c r="H11" s="21"/>
      <c r="I11" s="367"/>
      <c r="J11" s="368"/>
      <c r="N11" s="202"/>
      <c r="Q11" s="202"/>
    </row>
    <row r="12" spans="1:17" ht="15" customHeight="1" thickBot="1" x14ac:dyDescent="0.3">
      <c r="A12" s="345"/>
      <c r="B12" s="213"/>
      <c r="C12" s="52"/>
      <c r="D12" s="288" t="s">
        <v>88</v>
      </c>
      <c r="E12" s="289" t="s">
        <v>258</v>
      </c>
      <c r="F12" s="290" t="s">
        <v>381</v>
      </c>
      <c r="G12" s="291" t="s">
        <v>382</v>
      </c>
      <c r="H12" s="276"/>
      <c r="I12" s="294" t="s">
        <v>255</v>
      </c>
      <c r="J12" s="295" t="s">
        <v>257</v>
      </c>
      <c r="N12" s="202"/>
      <c r="Q12" s="202"/>
    </row>
    <row r="13" spans="1:17" thickTop="1" x14ac:dyDescent="0.25">
      <c r="A13" s="345"/>
      <c r="B13" s="213"/>
      <c r="C13" s="145" t="s">
        <v>102</v>
      </c>
      <c r="D13" s="296">
        <f>D3</f>
        <v>36.120029166666676</v>
      </c>
      <c r="E13" s="297">
        <f>(D11*(D4/SQRT(D5)))</f>
        <v>2.869078057386949</v>
      </c>
      <c r="F13" s="298">
        <f>D13-E13</f>
        <v>33.250951109279725</v>
      </c>
      <c r="G13" s="307">
        <f>D13+E13</f>
        <v>38.989107224053626</v>
      </c>
      <c r="H13" s="277"/>
      <c r="I13" s="292">
        <v>99</v>
      </c>
      <c r="J13" s="293">
        <v>2.54</v>
      </c>
      <c r="N13" s="203"/>
      <c r="Q13" s="203"/>
    </row>
    <row r="14" spans="1:17" thickBot="1" x14ac:dyDescent="0.3">
      <c r="A14" s="345"/>
      <c r="B14" s="213"/>
      <c r="C14" s="146" t="s">
        <v>103</v>
      </c>
      <c r="D14" s="299">
        <f>F3</f>
        <v>21.872345075757575</v>
      </c>
      <c r="E14" s="300">
        <f>(D11*(F4/SQRT(F5)))</f>
        <v>1.5893763365067153</v>
      </c>
      <c r="F14" s="301">
        <f>D14-E14</f>
        <v>20.282968739250862</v>
      </c>
      <c r="G14" s="302">
        <f>D14+E14</f>
        <v>23.461721412264289</v>
      </c>
      <c r="H14" s="277"/>
      <c r="I14" s="204">
        <v>95</v>
      </c>
      <c r="J14" s="205">
        <v>1.96</v>
      </c>
      <c r="N14" s="202"/>
      <c r="Q14" s="202"/>
    </row>
    <row r="15" spans="1:17" thickBot="1" x14ac:dyDescent="0.3">
      <c r="A15" s="345"/>
      <c r="B15" s="213"/>
      <c r="C15" s="208" t="s">
        <v>345</v>
      </c>
      <c r="D15" s="303">
        <f>SUM(D13:D14)</f>
        <v>57.992374242424248</v>
      </c>
      <c r="E15" s="304">
        <f>SUM(E13:E14)</f>
        <v>4.458454393893664</v>
      </c>
      <c r="F15" s="305">
        <f>D15-E15</f>
        <v>53.533919848530587</v>
      </c>
      <c r="G15" s="306">
        <f>SUM(G13:G14)</f>
        <v>62.450828636317915</v>
      </c>
      <c r="H15" s="278"/>
      <c r="I15" s="206">
        <v>90</v>
      </c>
      <c r="J15" s="207">
        <v>1.65</v>
      </c>
      <c r="N15" s="202"/>
      <c r="Q15" s="202"/>
    </row>
    <row r="16" spans="1:17" ht="15" x14ac:dyDescent="0.25">
      <c r="A16" s="345"/>
      <c r="B16" s="213"/>
      <c r="N16" s="202"/>
      <c r="Q16" s="202"/>
    </row>
    <row r="17" spans="1:17" ht="15" x14ac:dyDescent="0.25">
      <c r="A17" s="345"/>
      <c r="B17" s="213"/>
      <c r="N17" s="202"/>
      <c r="O17" s="202"/>
      <c r="P17" s="202"/>
      <c r="Q17" s="202"/>
    </row>
    <row r="18" spans="1:17" ht="15" x14ac:dyDescent="0.25">
      <c r="A18" s="345"/>
      <c r="B18" s="213"/>
      <c r="N18" s="202"/>
      <c r="O18" s="202"/>
      <c r="P18" s="202"/>
      <c r="Q18" s="202"/>
    </row>
    <row r="19" spans="1:17" ht="15" x14ac:dyDescent="0.25">
      <c r="A19" s="345"/>
      <c r="B19" s="213"/>
      <c r="N19" s="202"/>
      <c r="O19" s="202"/>
      <c r="P19" s="202"/>
      <c r="Q19" s="202"/>
    </row>
    <row r="20" spans="1:17" ht="15" x14ac:dyDescent="0.25">
      <c r="A20" s="345"/>
      <c r="B20" s="213"/>
    </row>
    <row r="21" spans="1:17" ht="15" x14ac:dyDescent="0.25">
      <c r="A21" s="345"/>
      <c r="B21" s="213"/>
    </row>
    <row r="22" spans="1:17" ht="15" x14ac:dyDescent="0.25">
      <c r="A22" s="345"/>
      <c r="B22" s="213"/>
    </row>
    <row r="23" spans="1:17" ht="15" x14ac:dyDescent="0.25">
      <c r="A23" s="345"/>
      <c r="B23" s="213"/>
    </row>
    <row r="24" spans="1:17" ht="15" x14ac:dyDescent="0.25">
      <c r="A24" s="345"/>
      <c r="B24" s="213"/>
    </row>
    <row r="25" spans="1:17" ht="15" x14ac:dyDescent="0.25">
      <c r="A25" s="345"/>
      <c r="B25" s="213"/>
    </row>
    <row r="26" spans="1:17" ht="15" x14ac:dyDescent="0.25">
      <c r="A26" s="345"/>
      <c r="B26" s="213"/>
    </row>
    <row r="27" spans="1:17" ht="15" x14ac:dyDescent="0.25">
      <c r="A27" s="345"/>
      <c r="B27" s="213"/>
    </row>
    <row r="28" spans="1:17" ht="15" x14ac:dyDescent="0.25">
      <c r="A28" s="345"/>
      <c r="B28" s="213"/>
    </row>
    <row r="29" spans="1:17" ht="15" x14ac:dyDescent="0.25">
      <c r="A29" s="345"/>
      <c r="B29" s="213"/>
    </row>
    <row r="30" spans="1:17" ht="15" x14ac:dyDescent="0.25">
      <c r="A30" s="345"/>
      <c r="B30" s="213"/>
    </row>
    <row r="31" spans="1:17" ht="15" x14ac:dyDescent="0.25">
      <c r="A31" s="345"/>
      <c r="B31" s="213"/>
    </row>
    <row r="32" spans="1:17" ht="15" x14ac:dyDescent="0.25">
      <c r="A32" s="345"/>
      <c r="B32" s="213"/>
    </row>
    <row r="33" spans="1:2" ht="15" x14ac:dyDescent="0.25">
      <c r="A33" s="345"/>
      <c r="B33" s="213"/>
    </row>
    <row r="34" spans="1:2" thickBot="1" x14ac:dyDescent="0.3">
      <c r="A34" s="346"/>
      <c r="B34" s="213"/>
    </row>
  </sheetData>
  <mergeCells count="8">
    <mergeCell ref="A1:A34"/>
    <mergeCell ref="C1:H1"/>
    <mergeCell ref="I10:J11"/>
    <mergeCell ref="I9:J9"/>
    <mergeCell ref="C2:D2"/>
    <mergeCell ref="E2:F2"/>
    <mergeCell ref="G2:H2"/>
    <mergeCell ref="C9:G9"/>
  </mergeCells>
  <dataValidations count="1">
    <dataValidation type="list" showInputMessage="1" showErrorMessage="1" sqref="D10">
      <formula1>$I$13:$I$15</formula1>
    </dataValidation>
  </dataValidations>
  <pageMargins left="0.7" right="0.7" top="0.75" bottom="0.75" header="0.3" footer="0.3"/>
  <ignoredErrors>
    <ignoredError sqref="F15"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89"/>
  <sheetViews>
    <sheetView workbookViewId="0">
      <selection activeCell="N32" sqref="N32"/>
    </sheetView>
  </sheetViews>
  <sheetFormatPr defaultRowHeight="15" x14ac:dyDescent="0.25"/>
  <cols>
    <col min="1" max="1" width="24.28515625" customWidth="1"/>
    <col min="2" max="2" width="11.85546875" customWidth="1"/>
    <col min="3" max="3" width="9.7109375" customWidth="1"/>
    <col min="4" max="4" width="10" customWidth="1"/>
    <col min="6" max="7" width="9.5703125" customWidth="1"/>
    <col min="8" max="8" width="9.85546875" customWidth="1"/>
    <col min="10" max="10" width="26.5703125" bestFit="1" customWidth="1"/>
  </cols>
  <sheetData>
    <row r="1" spans="1:77" ht="60" customHeight="1" x14ac:dyDescent="0.25">
      <c r="A1" s="344" t="s">
        <v>386</v>
      </c>
      <c r="B1" s="240" t="s">
        <v>221</v>
      </c>
      <c r="C1" s="240" t="s">
        <v>223</v>
      </c>
      <c r="D1" s="240" t="s">
        <v>225</v>
      </c>
      <c r="E1" s="12"/>
      <c r="F1" s="240" t="s">
        <v>222</v>
      </c>
      <c r="G1" s="240" t="s">
        <v>224</v>
      </c>
      <c r="H1" s="240" t="s">
        <v>226</v>
      </c>
      <c r="I1" s="12"/>
      <c r="J1" s="282" t="s">
        <v>275</v>
      </c>
      <c r="K1" s="228"/>
      <c r="L1" s="228"/>
      <c r="M1" s="228"/>
      <c r="N1" s="228"/>
      <c r="O1" s="228"/>
      <c r="P1" s="229"/>
      <c r="Q1" s="12"/>
      <c r="R1" s="12"/>
      <c r="S1" s="12"/>
      <c r="T1" s="12"/>
      <c r="U1" s="12"/>
      <c r="V1" s="12"/>
      <c r="W1" s="12"/>
      <c r="X1" s="12"/>
      <c r="Y1" s="12"/>
      <c r="Z1" s="12"/>
      <c r="AA1" s="12"/>
      <c r="AB1" s="12"/>
      <c r="AC1" s="12"/>
      <c r="AD1" s="12"/>
      <c r="AE1" s="12"/>
      <c r="AF1" s="12"/>
      <c r="AG1" s="12"/>
      <c r="AH1" s="12"/>
      <c r="AI1" s="12"/>
      <c r="AJ1" s="12"/>
      <c r="AK1" s="12"/>
      <c r="AL1" s="12"/>
      <c r="AM1" s="12"/>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c r="BT1" s="12"/>
      <c r="BU1" s="12"/>
      <c r="BV1" s="12"/>
      <c r="BW1" s="12"/>
      <c r="BX1" s="12"/>
      <c r="BY1" s="12"/>
    </row>
    <row r="2" spans="1:77" x14ac:dyDescent="0.25">
      <c r="A2" s="345"/>
      <c r="B2" s="241"/>
      <c r="C2" s="241"/>
      <c r="D2" s="241">
        <v>40.016666666666666</v>
      </c>
      <c r="E2" s="12"/>
      <c r="F2" s="241"/>
      <c r="G2" s="241"/>
      <c r="H2" s="241">
        <v>21.25</v>
      </c>
      <c r="I2" s="12"/>
      <c r="J2" s="44"/>
      <c r="K2" s="21"/>
      <c r="L2" s="21"/>
      <c r="M2" s="21"/>
      <c r="N2" s="21"/>
      <c r="O2" s="21"/>
      <c r="P2" s="45"/>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row>
    <row r="3" spans="1:77" ht="15.75" thickBot="1" x14ac:dyDescent="0.3">
      <c r="A3" s="345"/>
      <c r="B3" s="241"/>
      <c r="C3" s="241"/>
      <c r="D3" s="241">
        <v>38.899000000000008</v>
      </c>
      <c r="E3" s="12"/>
      <c r="F3" s="241"/>
      <c r="G3" s="241"/>
      <c r="H3" s="241">
        <v>17.266999999999996</v>
      </c>
      <c r="I3" s="12"/>
      <c r="J3" s="44" t="s">
        <v>227</v>
      </c>
      <c r="K3" s="21"/>
      <c r="L3" s="21"/>
      <c r="M3" s="21"/>
      <c r="N3" s="21"/>
      <c r="O3" s="21"/>
      <c r="P3" s="45"/>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row>
    <row r="4" spans="1:77" x14ac:dyDescent="0.25">
      <c r="A4" s="345"/>
      <c r="B4" s="241"/>
      <c r="C4" s="241">
        <v>32.733333333333334</v>
      </c>
      <c r="D4" s="241"/>
      <c r="E4" s="12"/>
      <c r="F4" s="241"/>
      <c r="G4" s="241">
        <v>37.800000000000004</v>
      </c>
      <c r="H4" s="241"/>
      <c r="I4" s="12"/>
      <c r="J4" s="230" t="s">
        <v>228</v>
      </c>
      <c r="K4" s="238" t="s">
        <v>83</v>
      </c>
      <c r="L4" s="238" t="s">
        <v>84</v>
      </c>
      <c r="M4" s="238" t="s">
        <v>229</v>
      </c>
      <c r="N4" s="238" t="s">
        <v>85</v>
      </c>
      <c r="O4" s="21"/>
      <c r="P4" s="45"/>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row>
    <row r="5" spans="1:77" x14ac:dyDescent="0.25">
      <c r="A5" s="345"/>
      <c r="B5" s="241"/>
      <c r="C5" s="241"/>
      <c r="D5" s="241">
        <v>26.717999999999993</v>
      </c>
      <c r="E5" s="12"/>
      <c r="F5" s="241"/>
      <c r="G5" s="241"/>
      <c r="H5" s="241">
        <v>22.699999999999996</v>
      </c>
      <c r="I5" s="12"/>
      <c r="J5" s="231" t="s">
        <v>221</v>
      </c>
      <c r="K5" s="249">
        <v>24</v>
      </c>
      <c r="L5" s="249">
        <v>742.85136666666654</v>
      </c>
      <c r="M5" s="249">
        <v>30.952140277777772</v>
      </c>
      <c r="N5" s="249">
        <v>158.49625628009522</v>
      </c>
      <c r="O5" s="21"/>
      <c r="P5" s="45"/>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c r="BT5" s="12"/>
      <c r="BU5" s="12"/>
      <c r="BV5" s="12"/>
      <c r="BW5" s="12"/>
      <c r="BX5" s="12"/>
      <c r="BY5" s="12"/>
    </row>
    <row r="6" spans="1:77" x14ac:dyDescent="0.25">
      <c r="A6" s="345"/>
      <c r="B6" s="241">
        <v>25.465999999999998</v>
      </c>
      <c r="C6" s="241"/>
      <c r="D6" s="241"/>
      <c r="E6" s="12"/>
      <c r="F6" s="241">
        <v>17.683</v>
      </c>
      <c r="G6" s="241"/>
      <c r="H6" s="241"/>
      <c r="I6" s="12"/>
      <c r="J6" s="231" t="s">
        <v>223</v>
      </c>
      <c r="K6" s="249">
        <v>29</v>
      </c>
      <c r="L6" s="249">
        <v>1055.0612333333333</v>
      </c>
      <c r="M6" s="249">
        <v>36.38142183908046</v>
      </c>
      <c r="N6" s="249">
        <v>222.16983571502195</v>
      </c>
      <c r="O6" s="21"/>
      <c r="P6" s="45"/>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c r="BT6" s="12"/>
      <c r="BU6" s="12"/>
      <c r="BV6" s="12"/>
      <c r="BW6" s="12"/>
      <c r="BX6" s="12"/>
      <c r="BY6" s="12"/>
    </row>
    <row r="7" spans="1:77" ht="15.75" thickBot="1" x14ac:dyDescent="0.3">
      <c r="A7" s="345"/>
      <c r="B7" s="241"/>
      <c r="C7" s="241"/>
      <c r="D7" s="241">
        <v>24.65</v>
      </c>
      <c r="E7" s="12"/>
      <c r="F7" s="241"/>
      <c r="G7" s="241"/>
      <c r="H7" s="241">
        <v>21.816666666666666</v>
      </c>
      <c r="I7" s="12"/>
      <c r="J7" s="232" t="s">
        <v>225</v>
      </c>
      <c r="K7" s="250">
        <v>33</v>
      </c>
      <c r="L7" s="250">
        <v>1312.7839666666666</v>
      </c>
      <c r="M7" s="250">
        <v>39.78133232323232</v>
      </c>
      <c r="N7" s="250">
        <v>159.47729525260365</v>
      </c>
      <c r="O7" s="21"/>
      <c r="P7" s="45"/>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c r="BP7" s="12"/>
      <c r="BQ7" s="12"/>
      <c r="BR7" s="12"/>
      <c r="BS7" s="12"/>
      <c r="BT7" s="12"/>
      <c r="BU7" s="12"/>
      <c r="BV7" s="12"/>
      <c r="BW7" s="12"/>
      <c r="BX7" s="12"/>
      <c r="BY7" s="12"/>
    </row>
    <row r="8" spans="1:77" x14ac:dyDescent="0.25">
      <c r="A8" s="345"/>
      <c r="B8" s="241">
        <v>57.766666666666666</v>
      </c>
      <c r="C8" s="241"/>
      <c r="D8" s="241"/>
      <c r="E8" s="12"/>
      <c r="F8" s="241">
        <v>17.95</v>
      </c>
      <c r="G8" s="241"/>
      <c r="H8" s="241"/>
      <c r="I8" s="12"/>
      <c r="J8" s="44"/>
      <c r="K8" s="141"/>
      <c r="L8" s="21"/>
      <c r="M8" s="21"/>
      <c r="N8" s="21"/>
      <c r="O8" s="21"/>
      <c r="P8" s="45"/>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row>
    <row r="9" spans="1:77" x14ac:dyDescent="0.25">
      <c r="A9" s="345"/>
      <c r="B9" s="241"/>
      <c r="C9" s="241">
        <v>44.332999999999998</v>
      </c>
      <c r="D9" s="241"/>
      <c r="F9" s="241"/>
      <c r="G9" s="241">
        <v>29.099999999999998</v>
      </c>
      <c r="H9" s="241"/>
      <c r="J9" s="44"/>
      <c r="K9" s="21"/>
      <c r="L9" s="21"/>
      <c r="M9" s="21"/>
      <c r="N9" s="21"/>
      <c r="O9" s="21"/>
      <c r="P9" s="45"/>
    </row>
    <row r="10" spans="1:77" ht="15.75" thickBot="1" x14ac:dyDescent="0.3">
      <c r="A10" s="345"/>
      <c r="B10" s="241">
        <v>29.419</v>
      </c>
      <c r="C10" s="241"/>
      <c r="D10" s="241"/>
      <c r="F10" s="241">
        <v>18.364799999999999</v>
      </c>
      <c r="G10" s="241"/>
      <c r="H10" s="241"/>
      <c r="J10" s="44" t="s">
        <v>230</v>
      </c>
      <c r="K10" s="21"/>
      <c r="L10" s="21"/>
      <c r="M10" s="21"/>
      <c r="N10" s="21"/>
      <c r="O10" s="21"/>
      <c r="P10" s="45"/>
    </row>
    <row r="11" spans="1:77" ht="15.75" thickBot="1" x14ac:dyDescent="0.3">
      <c r="A11" s="345"/>
      <c r="B11" s="241"/>
      <c r="C11" s="241">
        <v>41.783000000000001</v>
      </c>
      <c r="D11" s="241"/>
      <c r="F11" s="241"/>
      <c r="G11" s="241">
        <v>38.783000000000001</v>
      </c>
      <c r="H11" s="241"/>
      <c r="J11" s="230" t="s">
        <v>231</v>
      </c>
      <c r="K11" s="238" t="s">
        <v>232</v>
      </c>
      <c r="L11" s="238" t="s">
        <v>86</v>
      </c>
      <c r="M11" s="238" t="s">
        <v>233</v>
      </c>
      <c r="N11" s="238" t="s">
        <v>87</v>
      </c>
      <c r="O11" s="236" t="s">
        <v>234</v>
      </c>
      <c r="P11" s="233" t="s">
        <v>235</v>
      </c>
    </row>
    <row r="12" spans="1:77" ht="15.75" thickBot="1" x14ac:dyDescent="0.3">
      <c r="A12" s="345"/>
      <c r="B12" s="241">
        <v>36.5837</v>
      </c>
      <c r="C12" s="241"/>
      <c r="D12" s="241"/>
      <c r="F12" s="241">
        <v>27.867000000000001</v>
      </c>
      <c r="G12" s="241"/>
      <c r="H12" s="241"/>
      <c r="J12" s="231" t="s">
        <v>236</v>
      </c>
      <c r="K12" s="33">
        <v>1085.0984483091706</v>
      </c>
      <c r="L12" s="33">
        <v>2</v>
      </c>
      <c r="M12" s="33">
        <v>542.54922415458532</v>
      </c>
      <c r="N12" s="243">
        <v>3.0082339322386393</v>
      </c>
      <c r="O12" s="286">
        <v>5.479248411412397E-2</v>
      </c>
      <c r="P12" s="283">
        <v>3.1065070819548346</v>
      </c>
    </row>
    <row r="13" spans="1:77" x14ac:dyDescent="0.25">
      <c r="A13" s="345"/>
      <c r="B13" s="241"/>
      <c r="C13" s="241">
        <v>24.417000000000002</v>
      </c>
      <c r="D13" s="241"/>
      <c r="F13" s="241"/>
      <c r="G13" s="241">
        <v>27.299999999999997</v>
      </c>
      <c r="H13" s="241"/>
      <c r="J13" s="231" t="s">
        <v>237</v>
      </c>
      <c r="K13" s="33">
        <v>14969.442742546089</v>
      </c>
      <c r="L13" s="33">
        <v>83</v>
      </c>
      <c r="M13" s="33">
        <v>180.35473183790469</v>
      </c>
      <c r="N13" s="33"/>
      <c r="O13" s="33"/>
      <c r="P13" s="234"/>
    </row>
    <row r="14" spans="1:77" x14ac:dyDescent="0.25">
      <c r="A14" s="345"/>
      <c r="B14" s="241"/>
      <c r="C14" s="241"/>
      <c r="D14" s="241">
        <v>42.265999999999998</v>
      </c>
      <c r="F14" s="241"/>
      <c r="G14" s="241"/>
      <c r="H14" s="241">
        <v>12.533999999999999</v>
      </c>
      <c r="J14" s="231"/>
      <c r="K14" s="33"/>
      <c r="L14" s="33"/>
      <c r="M14" s="33"/>
      <c r="N14" s="33"/>
      <c r="O14" s="33"/>
      <c r="P14" s="234"/>
    </row>
    <row r="15" spans="1:77" ht="15.75" thickBot="1" x14ac:dyDescent="0.3">
      <c r="A15" s="345"/>
      <c r="B15" s="241"/>
      <c r="C15" s="241"/>
      <c r="D15" s="241">
        <v>48.048999999999992</v>
      </c>
      <c r="F15" s="241"/>
      <c r="G15" s="241"/>
      <c r="H15" s="241">
        <v>28.850999999999999</v>
      </c>
      <c r="J15" s="232" t="s">
        <v>238</v>
      </c>
      <c r="K15" s="34">
        <v>16054.54119085526</v>
      </c>
      <c r="L15" s="34">
        <v>85</v>
      </c>
      <c r="M15" s="34"/>
      <c r="N15" s="34"/>
      <c r="O15" s="34"/>
      <c r="P15" s="235"/>
    </row>
    <row r="16" spans="1:77" ht="15.75" thickBot="1" x14ac:dyDescent="0.3">
      <c r="A16" s="345"/>
      <c r="B16" s="241"/>
      <c r="C16" s="241">
        <v>15.75</v>
      </c>
      <c r="D16" s="241"/>
      <c r="F16" s="241"/>
      <c r="G16" s="241">
        <v>19.249299999999998</v>
      </c>
      <c r="H16" s="241"/>
      <c r="J16" s="67" t="s">
        <v>364</v>
      </c>
      <c r="K16" s="46"/>
      <c r="L16" s="46"/>
      <c r="M16" s="46"/>
      <c r="N16" s="46"/>
      <c r="O16" s="46"/>
      <c r="P16" s="47"/>
    </row>
    <row r="17" spans="1:16" ht="15.75" thickBot="1" x14ac:dyDescent="0.3">
      <c r="A17" s="345"/>
      <c r="B17" s="241">
        <v>19.420999999999999</v>
      </c>
      <c r="C17" s="31"/>
      <c r="D17" s="241"/>
      <c r="F17" s="241">
        <v>14.064499999999999</v>
      </c>
      <c r="G17" s="241"/>
      <c r="H17" s="241"/>
    </row>
    <row r="18" spans="1:16" x14ac:dyDescent="0.25">
      <c r="A18" s="345"/>
      <c r="B18" s="241"/>
      <c r="C18" s="241">
        <v>35.667000000000002</v>
      </c>
      <c r="D18" s="241"/>
      <c r="F18" s="241"/>
      <c r="G18" s="241">
        <v>26.050999999999998</v>
      </c>
      <c r="H18" s="241"/>
      <c r="J18" s="282" t="s">
        <v>274</v>
      </c>
      <c r="K18" s="228"/>
      <c r="L18" s="228"/>
      <c r="M18" s="228"/>
      <c r="N18" s="228"/>
      <c r="O18" s="228"/>
      <c r="P18" s="229"/>
    </row>
    <row r="19" spans="1:16" x14ac:dyDescent="0.25">
      <c r="A19" s="345"/>
      <c r="B19" s="241">
        <v>40.149700000000003</v>
      </c>
      <c r="C19" s="241"/>
      <c r="D19" s="241"/>
      <c r="F19" s="241">
        <v>27.166999999999998</v>
      </c>
      <c r="G19" s="241"/>
      <c r="H19" s="241"/>
      <c r="J19" s="44"/>
      <c r="K19" s="21"/>
      <c r="L19" s="21"/>
      <c r="M19" s="21"/>
      <c r="N19" s="21"/>
      <c r="O19" s="21"/>
      <c r="P19" s="45"/>
    </row>
    <row r="20" spans="1:16" ht="15.75" thickBot="1" x14ac:dyDescent="0.3">
      <c r="A20" s="345"/>
      <c r="B20" s="241"/>
      <c r="C20" s="241">
        <v>62.499000000000009</v>
      </c>
      <c r="D20" s="241"/>
      <c r="F20" s="241"/>
      <c r="G20" s="241">
        <v>35.849999999999994</v>
      </c>
      <c r="H20" s="241"/>
      <c r="J20" s="44" t="s">
        <v>227</v>
      </c>
      <c r="K20" s="21"/>
      <c r="L20" s="21"/>
      <c r="M20" s="21"/>
      <c r="N20" s="21"/>
      <c r="O20" s="21"/>
      <c r="P20" s="45"/>
    </row>
    <row r="21" spans="1:16" x14ac:dyDescent="0.25">
      <c r="A21" s="345"/>
      <c r="B21" s="241"/>
      <c r="C21" s="241">
        <v>31.766300000000001</v>
      </c>
      <c r="D21" s="241"/>
      <c r="F21" s="241"/>
      <c r="G21" s="241">
        <v>14.600000000000001</v>
      </c>
      <c r="H21" s="241"/>
      <c r="J21" s="230" t="s">
        <v>228</v>
      </c>
      <c r="K21" s="238" t="s">
        <v>83</v>
      </c>
      <c r="L21" s="238" t="s">
        <v>84</v>
      </c>
      <c r="M21" s="238" t="s">
        <v>229</v>
      </c>
      <c r="N21" s="238" t="s">
        <v>85</v>
      </c>
      <c r="O21" s="21"/>
      <c r="P21" s="45"/>
    </row>
    <row r="22" spans="1:16" x14ac:dyDescent="0.25">
      <c r="A22" s="345"/>
      <c r="B22" s="241"/>
      <c r="C22" s="241">
        <v>32.850300000000004</v>
      </c>
      <c r="D22" s="241"/>
      <c r="F22" s="241"/>
      <c r="G22" s="241">
        <v>21.95</v>
      </c>
      <c r="H22" s="241"/>
      <c r="J22" s="231" t="s">
        <v>222</v>
      </c>
      <c r="K22" s="249">
        <v>24</v>
      </c>
      <c r="L22" s="249">
        <v>546.52</v>
      </c>
      <c r="M22" s="249">
        <v>22.771666666666665</v>
      </c>
      <c r="N22" s="249">
        <v>65.731423062318953</v>
      </c>
      <c r="O22" s="21"/>
      <c r="P22" s="45"/>
    </row>
    <row r="23" spans="1:16" x14ac:dyDescent="0.25">
      <c r="A23" s="345"/>
      <c r="B23" s="241"/>
      <c r="C23" s="241"/>
      <c r="D23" s="241">
        <v>51.498699999999999</v>
      </c>
      <c r="F23" s="241"/>
      <c r="G23" s="241"/>
      <c r="H23" s="241">
        <v>18.533000000000001</v>
      </c>
      <c r="J23" s="231" t="s">
        <v>224</v>
      </c>
      <c r="K23" s="249">
        <v>29</v>
      </c>
      <c r="L23" s="249">
        <v>681.05420000000004</v>
      </c>
      <c r="M23" s="249">
        <v>23.484627586206898</v>
      </c>
      <c r="N23" s="249">
        <v>75.308176296354631</v>
      </c>
      <c r="O23" s="21"/>
      <c r="P23" s="45"/>
    </row>
    <row r="24" spans="1:16" ht="15.75" thickBot="1" x14ac:dyDescent="0.3">
      <c r="A24" s="345"/>
      <c r="B24" s="241"/>
      <c r="C24" s="241"/>
      <c r="D24" s="241">
        <v>27.980000000000004</v>
      </c>
      <c r="F24" s="241"/>
      <c r="G24" s="241"/>
      <c r="H24" s="241">
        <v>16.400000000000002</v>
      </c>
      <c r="J24" s="232" t="s">
        <v>226</v>
      </c>
      <c r="K24" s="250">
        <v>33</v>
      </c>
      <c r="L24" s="250">
        <v>658.1581666666666</v>
      </c>
      <c r="M24" s="250">
        <v>19.944186868686867</v>
      </c>
      <c r="N24" s="250">
        <v>33.572322911940262</v>
      </c>
      <c r="O24" s="21"/>
      <c r="P24" s="45"/>
    </row>
    <row r="25" spans="1:16" x14ac:dyDescent="0.25">
      <c r="A25" s="345"/>
      <c r="B25" s="241">
        <v>15.433</v>
      </c>
      <c r="C25" s="241"/>
      <c r="D25" s="241"/>
      <c r="F25" s="241">
        <v>31.1</v>
      </c>
      <c r="G25" s="241"/>
      <c r="H25" s="241"/>
      <c r="J25" s="44"/>
      <c r="K25" s="21"/>
      <c r="L25" s="21"/>
      <c r="M25" s="21"/>
      <c r="N25" s="21"/>
      <c r="O25" s="21"/>
      <c r="P25" s="45"/>
    </row>
    <row r="26" spans="1:16" x14ac:dyDescent="0.25">
      <c r="A26" s="345"/>
      <c r="B26" s="241"/>
      <c r="C26" s="241">
        <v>53.549700000000001</v>
      </c>
      <c r="D26" s="241"/>
      <c r="F26" s="241"/>
      <c r="G26" s="241">
        <v>16.967300000000002</v>
      </c>
      <c r="H26" s="241"/>
      <c r="J26" s="44"/>
      <c r="K26" s="21"/>
      <c r="L26" s="21"/>
      <c r="M26" s="21"/>
      <c r="N26" s="21"/>
      <c r="O26" s="21"/>
      <c r="P26" s="45"/>
    </row>
    <row r="27" spans="1:16" ht="15.75" thickBot="1" x14ac:dyDescent="0.3">
      <c r="A27" s="345"/>
      <c r="B27" s="241">
        <v>27.739000000000001</v>
      </c>
      <c r="C27" s="241"/>
      <c r="D27" s="241"/>
      <c r="F27" s="241">
        <v>13.353499999999999</v>
      </c>
      <c r="G27" s="241"/>
      <c r="H27" s="241"/>
      <c r="J27" s="44" t="s">
        <v>230</v>
      </c>
      <c r="K27" s="21"/>
      <c r="L27" s="21"/>
      <c r="M27" s="21"/>
      <c r="N27" s="21"/>
      <c r="O27" s="21"/>
      <c r="P27" s="45"/>
    </row>
    <row r="28" spans="1:16" ht="15.75" thickBot="1" x14ac:dyDescent="0.3">
      <c r="A28" s="345"/>
      <c r="B28" s="241">
        <v>23.023300000000003</v>
      </c>
      <c r="C28" s="241"/>
      <c r="D28" s="241"/>
      <c r="F28" s="241">
        <v>13.178000000000001</v>
      </c>
      <c r="G28" s="241"/>
      <c r="H28" s="241"/>
      <c r="J28" s="230" t="s">
        <v>231</v>
      </c>
      <c r="K28" s="238" t="s">
        <v>232</v>
      </c>
      <c r="L28" s="238" t="s">
        <v>86</v>
      </c>
      <c r="M28" s="238" t="s">
        <v>233</v>
      </c>
      <c r="N28" s="238" t="s">
        <v>87</v>
      </c>
      <c r="O28" s="236" t="s">
        <v>234</v>
      </c>
      <c r="P28" s="233" t="s">
        <v>235</v>
      </c>
    </row>
    <row r="29" spans="1:16" ht="15.75" thickBot="1" x14ac:dyDescent="0.3">
      <c r="A29" s="345"/>
      <c r="B29" s="241"/>
      <c r="C29" s="241"/>
      <c r="D29" s="241">
        <v>43.187000000000005</v>
      </c>
      <c r="F29" s="241"/>
      <c r="G29" s="241"/>
      <c r="H29" s="241">
        <v>20.265999999999998</v>
      </c>
      <c r="J29" s="231" t="s">
        <v>236</v>
      </c>
      <c r="K29" s="33">
        <v>217.22406979146672</v>
      </c>
      <c r="L29" s="33">
        <v>2</v>
      </c>
      <c r="M29" s="33">
        <v>108.61203489573336</v>
      </c>
      <c r="N29" s="243">
        <v>1.9201806642785282</v>
      </c>
      <c r="O29" s="287">
        <v>0.15303597331214391</v>
      </c>
      <c r="P29" s="283">
        <v>3.1065070819548346</v>
      </c>
    </row>
    <row r="30" spans="1:16" x14ac:dyDescent="0.25">
      <c r="A30" s="345"/>
      <c r="B30" s="241"/>
      <c r="C30" s="241"/>
      <c r="D30" s="241">
        <v>41.3504</v>
      </c>
      <c r="F30" s="241"/>
      <c r="G30" s="241"/>
      <c r="H30" s="241">
        <v>16.150300000000001</v>
      </c>
      <c r="J30" s="231" t="s">
        <v>237</v>
      </c>
      <c r="K30" s="33">
        <v>4694.7659999133521</v>
      </c>
      <c r="L30" s="33">
        <v>83</v>
      </c>
      <c r="M30" s="33">
        <v>56.563445782088579</v>
      </c>
      <c r="N30" s="33"/>
      <c r="O30" s="33"/>
      <c r="P30" s="234"/>
    </row>
    <row r="31" spans="1:16" x14ac:dyDescent="0.25">
      <c r="A31" s="345"/>
      <c r="B31" s="241"/>
      <c r="C31" s="241"/>
      <c r="D31" s="241">
        <v>28.849000000000004</v>
      </c>
      <c r="F31" s="241"/>
      <c r="G31" s="241"/>
      <c r="H31" s="241">
        <v>28.183299999999999</v>
      </c>
      <c r="J31" s="231"/>
      <c r="K31" s="33"/>
      <c r="L31" s="33"/>
      <c r="M31" s="33"/>
      <c r="N31" s="33"/>
      <c r="O31" s="33"/>
      <c r="P31" s="234"/>
    </row>
    <row r="32" spans="1:16" ht="15.75" thickBot="1" x14ac:dyDescent="0.3">
      <c r="A32" s="345"/>
      <c r="B32" s="241">
        <v>29.700000000000003</v>
      </c>
      <c r="C32" s="241"/>
      <c r="D32" s="241"/>
      <c r="F32" s="241">
        <v>20.2163</v>
      </c>
      <c r="G32" s="241"/>
      <c r="H32" s="241"/>
      <c r="J32" s="232" t="s">
        <v>238</v>
      </c>
      <c r="K32" s="34">
        <v>4911.9900697048188</v>
      </c>
      <c r="L32" s="34">
        <v>85</v>
      </c>
      <c r="M32" s="34"/>
      <c r="N32" s="34"/>
      <c r="O32" s="34"/>
      <c r="P32" s="235"/>
    </row>
    <row r="33" spans="1:16" ht="15.75" thickBot="1" x14ac:dyDescent="0.3">
      <c r="A33" s="345"/>
      <c r="B33" s="241">
        <v>43.500700000000002</v>
      </c>
      <c r="C33" s="241"/>
      <c r="D33" s="241"/>
      <c r="F33" s="241">
        <v>21.300000000000004</v>
      </c>
      <c r="G33" s="241"/>
      <c r="H33" s="241"/>
      <c r="J33" s="67" t="s">
        <v>363</v>
      </c>
      <c r="K33" s="46"/>
      <c r="L33" s="46"/>
      <c r="M33" s="46"/>
      <c r="N33" s="46"/>
      <c r="O33" s="46"/>
      <c r="P33" s="47"/>
    </row>
    <row r="34" spans="1:16" ht="15.75" thickBot="1" x14ac:dyDescent="0.3">
      <c r="A34" s="346"/>
      <c r="B34" s="241"/>
      <c r="C34" s="241"/>
      <c r="D34" s="241">
        <v>41.670999999999999</v>
      </c>
      <c r="F34" s="241"/>
      <c r="G34" s="241"/>
      <c r="H34" s="241">
        <v>23.132999999999999</v>
      </c>
    </row>
    <row r="35" spans="1:16" x14ac:dyDescent="0.25">
      <c r="B35" s="241"/>
      <c r="C35" s="241"/>
      <c r="D35" s="241">
        <v>35.482999999999997</v>
      </c>
      <c r="F35" s="241"/>
      <c r="G35" s="241"/>
      <c r="H35" s="241">
        <v>29.082999999999998</v>
      </c>
    </row>
    <row r="36" spans="1:16" x14ac:dyDescent="0.25">
      <c r="B36" s="241"/>
      <c r="C36" s="241">
        <v>52.750999999999998</v>
      </c>
      <c r="D36" s="241"/>
      <c r="F36" s="241"/>
      <c r="G36" s="241">
        <v>27.716999999999999</v>
      </c>
      <c r="H36" s="241"/>
    </row>
    <row r="37" spans="1:16" x14ac:dyDescent="0.25">
      <c r="B37" s="241"/>
      <c r="C37" s="241"/>
      <c r="D37" s="241">
        <v>36.750000000000007</v>
      </c>
      <c r="F37" s="241"/>
      <c r="G37" s="241"/>
      <c r="H37" s="241">
        <v>12.149999999999999</v>
      </c>
    </row>
    <row r="38" spans="1:16" x14ac:dyDescent="0.25">
      <c r="B38" s="241">
        <v>39.349999999999994</v>
      </c>
      <c r="C38" s="241"/>
      <c r="D38" s="241"/>
      <c r="F38" s="241">
        <v>31.971999999999998</v>
      </c>
      <c r="G38" s="241"/>
      <c r="H38" s="241"/>
    </row>
    <row r="39" spans="1:16" x14ac:dyDescent="0.25">
      <c r="B39" s="241">
        <v>40.414999999999999</v>
      </c>
      <c r="C39" s="241"/>
      <c r="D39" s="241"/>
      <c r="F39" s="241">
        <v>30.716300000000004</v>
      </c>
      <c r="G39" s="241"/>
      <c r="H39" s="241"/>
    </row>
    <row r="40" spans="1:16" x14ac:dyDescent="0.25">
      <c r="B40" s="241"/>
      <c r="C40" s="241">
        <v>33.766000000000005</v>
      </c>
      <c r="D40" s="241"/>
      <c r="F40" s="241"/>
      <c r="G40" s="241">
        <v>27.817</v>
      </c>
      <c r="H40" s="241"/>
    </row>
    <row r="41" spans="1:16" x14ac:dyDescent="0.25">
      <c r="B41" s="241"/>
      <c r="C41" s="241">
        <v>22.016399999999997</v>
      </c>
      <c r="D41" s="241"/>
      <c r="F41" s="241"/>
      <c r="G41" s="241">
        <v>24.167000000000002</v>
      </c>
      <c r="H41" s="241"/>
    </row>
    <row r="42" spans="1:16" x14ac:dyDescent="0.25">
      <c r="B42" s="241"/>
      <c r="C42" s="241"/>
      <c r="D42" s="241">
        <v>30.051000000000002</v>
      </c>
      <c r="F42" s="241"/>
      <c r="G42" s="241"/>
      <c r="H42" s="241">
        <v>11.967000000000002</v>
      </c>
    </row>
    <row r="43" spans="1:16" x14ac:dyDescent="0.25">
      <c r="B43" s="241"/>
      <c r="C43" s="241">
        <v>59.820500000000003</v>
      </c>
      <c r="D43" s="241"/>
      <c r="F43" s="241"/>
      <c r="G43" s="241">
        <v>19.408999999999999</v>
      </c>
      <c r="H43" s="241"/>
    </row>
    <row r="44" spans="1:16" x14ac:dyDescent="0.25">
      <c r="B44" s="241"/>
      <c r="C44" s="241"/>
      <c r="D44" s="241">
        <v>38.116999999999997</v>
      </c>
      <c r="F44" s="241"/>
      <c r="G44" s="241"/>
      <c r="H44" s="241">
        <v>16.032999999999998</v>
      </c>
    </row>
    <row r="45" spans="1:16" x14ac:dyDescent="0.25">
      <c r="B45" s="241"/>
      <c r="C45" s="241"/>
      <c r="D45" s="241">
        <v>32.9</v>
      </c>
      <c r="F45" s="241"/>
      <c r="G45" s="241"/>
      <c r="H45" s="241">
        <v>22.683</v>
      </c>
    </row>
    <row r="46" spans="1:16" x14ac:dyDescent="0.25">
      <c r="B46" s="241">
        <v>20.515999999999998</v>
      </c>
      <c r="C46" s="241"/>
      <c r="D46" s="241"/>
      <c r="F46" s="241">
        <v>34.224299999999999</v>
      </c>
      <c r="G46" s="241"/>
      <c r="H46" s="241"/>
    </row>
    <row r="47" spans="1:16" x14ac:dyDescent="0.25">
      <c r="B47" s="241"/>
      <c r="C47" s="241">
        <v>51.100299999999997</v>
      </c>
      <c r="D47" s="241"/>
      <c r="F47" s="241"/>
      <c r="G47" s="241">
        <v>30.300999999999998</v>
      </c>
      <c r="H47" s="241"/>
    </row>
    <row r="48" spans="1:16" x14ac:dyDescent="0.25">
      <c r="B48" s="241"/>
      <c r="C48" s="241"/>
      <c r="D48" s="241">
        <v>61.084000000000003</v>
      </c>
      <c r="F48" s="241"/>
      <c r="G48" s="241"/>
      <c r="H48" s="241">
        <v>18</v>
      </c>
    </row>
    <row r="49" spans="2:8" x14ac:dyDescent="0.25">
      <c r="B49" s="241"/>
      <c r="C49" s="241">
        <v>26.166</v>
      </c>
      <c r="D49" s="241"/>
      <c r="F49" s="241"/>
      <c r="G49" s="241">
        <v>17.233000000000001</v>
      </c>
      <c r="H49" s="241"/>
    </row>
    <row r="50" spans="2:8" x14ac:dyDescent="0.25">
      <c r="B50" s="241"/>
      <c r="C50" s="241"/>
      <c r="D50" s="241">
        <v>46.199700000000007</v>
      </c>
      <c r="F50" s="241"/>
      <c r="G50" s="241"/>
      <c r="H50" s="241">
        <v>15.481999999999999</v>
      </c>
    </row>
    <row r="51" spans="2:8" x14ac:dyDescent="0.25">
      <c r="B51" s="241"/>
      <c r="C51" s="241"/>
      <c r="D51" s="241">
        <v>57.5336</v>
      </c>
      <c r="F51" s="241"/>
      <c r="G51" s="241"/>
      <c r="H51" s="241">
        <v>19.165699999999998</v>
      </c>
    </row>
    <row r="52" spans="2:8" x14ac:dyDescent="0.25">
      <c r="B52" s="241"/>
      <c r="C52" s="241"/>
      <c r="D52" s="241"/>
      <c r="F52" s="241"/>
      <c r="G52" s="241"/>
      <c r="H52" s="241"/>
    </row>
    <row r="53" spans="2:8" x14ac:dyDescent="0.25">
      <c r="B53" s="241"/>
      <c r="C53" s="241"/>
      <c r="D53" s="241">
        <v>42.416000000000004</v>
      </c>
      <c r="F53" s="241"/>
      <c r="G53" s="241"/>
      <c r="H53" s="241">
        <v>19.5167</v>
      </c>
    </row>
    <row r="54" spans="2:8" x14ac:dyDescent="0.25">
      <c r="B54" s="241"/>
      <c r="C54" s="241"/>
      <c r="D54" s="241">
        <v>41.515999999999998</v>
      </c>
      <c r="F54" s="241"/>
      <c r="G54" s="241"/>
      <c r="H54" s="241">
        <v>20.049999999999997</v>
      </c>
    </row>
    <row r="55" spans="2:8" x14ac:dyDescent="0.25">
      <c r="B55" s="241"/>
      <c r="C55" s="241"/>
      <c r="D55" s="241">
        <v>29.432299999999998</v>
      </c>
      <c r="F55" s="241"/>
      <c r="G55" s="241"/>
      <c r="H55" s="241">
        <v>26.700299999999999</v>
      </c>
    </row>
    <row r="56" spans="2:8" x14ac:dyDescent="0.25">
      <c r="B56" s="241"/>
      <c r="C56" s="241"/>
      <c r="D56" s="241">
        <v>29.467000000000002</v>
      </c>
      <c r="F56" s="241"/>
      <c r="G56" s="241"/>
      <c r="H56" s="241">
        <v>18.183</v>
      </c>
    </row>
    <row r="57" spans="2:8" x14ac:dyDescent="0.25">
      <c r="B57" s="241">
        <v>34.645199999999996</v>
      </c>
      <c r="C57" s="241"/>
      <c r="D57" s="241"/>
      <c r="F57" s="241">
        <v>19.497999999999998</v>
      </c>
      <c r="G57" s="241"/>
      <c r="H57" s="241"/>
    </row>
    <row r="58" spans="2:8" x14ac:dyDescent="0.25">
      <c r="B58" s="241"/>
      <c r="C58" s="241">
        <v>36.266299999999994</v>
      </c>
      <c r="D58" s="241"/>
      <c r="F58" s="241"/>
      <c r="G58" s="241">
        <v>18.0337</v>
      </c>
      <c r="H58" s="241"/>
    </row>
    <row r="59" spans="2:8" x14ac:dyDescent="0.25">
      <c r="B59" s="241"/>
      <c r="C59" s="241">
        <v>19.541999999999998</v>
      </c>
      <c r="D59" s="241"/>
      <c r="F59" s="241"/>
      <c r="G59" s="241">
        <v>16.351300000000002</v>
      </c>
      <c r="H59" s="241"/>
    </row>
    <row r="60" spans="2:8" x14ac:dyDescent="0.25">
      <c r="B60" s="241">
        <v>25.966999999999999</v>
      </c>
      <c r="C60" s="241"/>
      <c r="D60" s="241"/>
      <c r="F60" s="241">
        <v>26.85</v>
      </c>
      <c r="G60" s="241"/>
      <c r="H60" s="241"/>
    </row>
    <row r="61" spans="2:8" x14ac:dyDescent="0.25">
      <c r="B61" s="241">
        <v>13.1</v>
      </c>
      <c r="C61" s="241"/>
      <c r="D61" s="241"/>
      <c r="F61" s="241">
        <v>12.082999999999998</v>
      </c>
      <c r="G61" s="241"/>
      <c r="H61" s="241"/>
    </row>
    <row r="62" spans="2:8" x14ac:dyDescent="0.25">
      <c r="B62" s="241"/>
      <c r="C62" s="241"/>
      <c r="D62" s="241">
        <v>37.509300000000003</v>
      </c>
      <c r="F62" s="241"/>
      <c r="G62" s="241"/>
      <c r="H62" s="241">
        <v>23.386199999999999</v>
      </c>
    </row>
    <row r="63" spans="2:8" x14ac:dyDescent="0.25">
      <c r="B63" s="241"/>
      <c r="C63" s="241">
        <v>19.549299999999999</v>
      </c>
      <c r="D63" s="241"/>
      <c r="F63" s="241"/>
      <c r="G63" s="241">
        <v>9.7840000000000007</v>
      </c>
      <c r="H63" s="241"/>
    </row>
    <row r="64" spans="2:8" x14ac:dyDescent="0.25">
      <c r="B64" s="241">
        <v>31.0717</v>
      </c>
      <c r="C64" s="241"/>
      <c r="D64" s="241"/>
      <c r="F64" s="241">
        <v>42.033999999999999</v>
      </c>
      <c r="G64" s="241"/>
      <c r="H64" s="241"/>
    </row>
    <row r="65" spans="2:8" x14ac:dyDescent="0.25">
      <c r="B65" s="241"/>
      <c r="C65" s="241">
        <v>28.6493</v>
      </c>
      <c r="D65" s="241"/>
      <c r="F65" s="241"/>
      <c r="G65" s="241">
        <v>29.367000000000001</v>
      </c>
      <c r="H65" s="241"/>
    </row>
    <row r="66" spans="2:8" x14ac:dyDescent="0.25">
      <c r="B66" s="241"/>
      <c r="C66" s="241"/>
      <c r="D66" s="241">
        <v>60.104999999999997</v>
      </c>
      <c r="F66" s="241"/>
      <c r="G66" s="241"/>
      <c r="H66" s="241">
        <v>33.742000000000004</v>
      </c>
    </row>
    <row r="67" spans="2:8" x14ac:dyDescent="0.25">
      <c r="B67" s="241"/>
      <c r="C67" s="241"/>
      <c r="D67" s="241">
        <v>21.351000000000003</v>
      </c>
      <c r="F67" s="241"/>
      <c r="G67" s="241"/>
      <c r="H67" s="241">
        <v>15.649000000000001</v>
      </c>
    </row>
    <row r="68" spans="2:8" x14ac:dyDescent="0.25">
      <c r="B68" s="241">
        <v>33.483700000000006</v>
      </c>
      <c r="C68" s="241"/>
      <c r="D68" s="241"/>
      <c r="F68" s="241">
        <v>15.3</v>
      </c>
      <c r="G68" s="241"/>
      <c r="H68" s="241"/>
    </row>
    <row r="69" spans="2:8" x14ac:dyDescent="0.25">
      <c r="B69" s="241"/>
      <c r="C69" s="241">
        <v>46.535999999999994</v>
      </c>
      <c r="D69" s="241"/>
      <c r="F69" s="241"/>
      <c r="G69" s="241">
        <v>7.3056999999999981</v>
      </c>
      <c r="H69" s="241"/>
    </row>
    <row r="70" spans="2:8" x14ac:dyDescent="0.25">
      <c r="B70" s="241"/>
      <c r="C70" s="241"/>
      <c r="D70" s="241"/>
      <c r="F70" s="241"/>
      <c r="G70" s="241"/>
      <c r="H70" s="241"/>
    </row>
    <row r="71" spans="2:8" x14ac:dyDescent="0.25">
      <c r="B71" s="241"/>
      <c r="C71" s="241"/>
      <c r="D71" s="241">
        <v>64.816300000000012</v>
      </c>
      <c r="F71" s="241"/>
      <c r="G71" s="241"/>
      <c r="H71" s="241">
        <v>18.183</v>
      </c>
    </row>
    <row r="72" spans="2:8" x14ac:dyDescent="0.25">
      <c r="B72" s="241"/>
      <c r="C72" s="241">
        <v>45.216999999999999</v>
      </c>
      <c r="D72" s="241"/>
      <c r="F72" s="241"/>
      <c r="G72" s="241">
        <v>24.083300000000008</v>
      </c>
      <c r="H72" s="241"/>
    </row>
    <row r="73" spans="2:8" x14ac:dyDescent="0.25">
      <c r="B73" s="241"/>
      <c r="C73" s="241">
        <v>46.216999999999992</v>
      </c>
      <c r="D73" s="241"/>
      <c r="F73" s="241"/>
      <c r="G73" s="241">
        <v>19.883299999999998</v>
      </c>
      <c r="H73" s="241"/>
    </row>
    <row r="74" spans="2:8" x14ac:dyDescent="0.25">
      <c r="B74" s="241"/>
      <c r="C74" s="241">
        <v>15.716700000000001</v>
      </c>
      <c r="D74" s="241"/>
      <c r="F74" s="241"/>
      <c r="G74" s="241">
        <v>17.183299999999999</v>
      </c>
      <c r="H74" s="241"/>
    </row>
    <row r="75" spans="2:8" x14ac:dyDescent="0.25">
      <c r="B75" s="241"/>
      <c r="C75" s="241">
        <v>8.3333000000000013</v>
      </c>
      <c r="D75" s="241"/>
      <c r="F75" s="241"/>
      <c r="G75" s="241">
        <v>15.767000000000001</v>
      </c>
      <c r="H75" s="241"/>
    </row>
    <row r="76" spans="2:8" x14ac:dyDescent="0.25">
      <c r="B76" s="241"/>
      <c r="C76" s="241"/>
      <c r="D76" s="241">
        <v>32.732700000000001</v>
      </c>
      <c r="F76" s="241"/>
      <c r="G76" s="241"/>
      <c r="H76" s="241">
        <v>21.083000000000002</v>
      </c>
    </row>
    <row r="77" spans="2:8" x14ac:dyDescent="0.25">
      <c r="B77" s="241">
        <v>6.2006999999999994</v>
      </c>
      <c r="C77" s="241"/>
      <c r="D77" s="241"/>
      <c r="F77" s="241">
        <v>13.616</v>
      </c>
      <c r="G77" s="241"/>
      <c r="H77" s="241"/>
    </row>
    <row r="78" spans="2:8" x14ac:dyDescent="0.25">
      <c r="B78" s="241">
        <v>48.466999999999999</v>
      </c>
      <c r="C78" s="241"/>
      <c r="D78" s="241"/>
      <c r="F78" s="241">
        <v>33.683</v>
      </c>
      <c r="G78" s="241"/>
      <c r="H78" s="241"/>
    </row>
    <row r="79" spans="2:8" x14ac:dyDescent="0.25">
      <c r="B79" s="241"/>
      <c r="C79" s="241">
        <v>39.884000000000007</v>
      </c>
      <c r="D79" s="241"/>
      <c r="F79" s="241"/>
      <c r="G79" s="241">
        <v>26.1</v>
      </c>
      <c r="H79" s="241"/>
    </row>
    <row r="80" spans="2:8" x14ac:dyDescent="0.25">
      <c r="B80" s="241"/>
      <c r="C80" s="241"/>
      <c r="D80" s="241">
        <v>39.701999999999998</v>
      </c>
      <c r="F80" s="241"/>
      <c r="G80" s="241"/>
      <c r="H80" s="241">
        <v>10.867000000000001</v>
      </c>
    </row>
    <row r="81" spans="2:8" x14ac:dyDescent="0.25">
      <c r="B81" s="241"/>
      <c r="C81" s="241"/>
      <c r="D81" s="241">
        <v>8.85</v>
      </c>
      <c r="F81" s="241"/>
      <c r="G81" s="241"/>
      <c r="H81" s="241">
        <v>8.5829999999999984</v>
      </c>
    </row>
    <row r="82" spans="2:8" x14ac:dyDescent="0.25">
      <c r="B82" s="241">
        <v>18.533000000000001</v>
      </c>
      <c r="C82" s="241"/>
      <c r="D82" s="241"/>
      <c r="F82" s="241">
        <v>19.566299999999998</v>
      </c>
      <c r="G82" s="241"/>
      <c r="H82" s="241"/>
    </row>
    <row r="83" spans="2:8" x14ac:dyDescent="0.25">
      <c r="B83" s="241"/>
      <c r="C83" s="241"/>
      <c r="D83" s="241">
        <v>48.633299999999998</v>
      </c>
      <c r="F83" s="241"/>
      <c r="G83" s="241"/>
      <c r="H83" s="241">
        <v>28.067</v>
      </c>
    </row>
    <row r="84" spans="2:8" x14ac:dyDescent="0.25">
      <c r="B84" s="241"/>
      <c r="C84" s="241">
        <v>27.3</v>
      </c>
      <c r="D84" s="241"/>
      <c r="F84" s="241"/>
      <c r="G84" s="241">
        <v>44.132999999999996</v>
      </c>
      <c r="H84" s="241"/>
    </row>
    <row r="85" spans="2:8" x14ac:dyDescent="0.25">
      <c r="B85" s="241"/>
      <c r="C85" s="241"/>
      <c r="D85" s="241">
        <v>63</v>
      </c>
      <c r="F85" s="241"/>
      <c r="G85" s="241"/>
      <c r="H85" s="241">
        <v>22.5</v>
      </c>
    </row>
    <row r="86" spans="2:8" x14ac:dyDescent="0.25">
      <c r="B86" s="241">
        <v>30.383000000000003</v>
      </c>
      <c r="C86" s="241"/>
      <c r="D86" s="241"/>
      <c r="F86" s="241">
        <v>21.25</v>
      </c>
      <c r="G86" s="241"/>
      <c r="H86" s="241"/>
    </row>
    <row r="87" spans="2:8" x14ac:dyDescent="0.25">
      <c r="B87" s="241">
        <v>52.516999999999996</v>
      </c>
      <c r="C87" s="241"/>
      <c r="D87" s="241"/>
      <c r="F87" s="241">
        <v>23.483000000000004</v>
      </c>
      <c r="G87" s="241"/>
      <c r="H87" s="241"/>
    </row>
    <row r="88" spans="2:8" x14ac:dyDescent="0.25">
      <c r="B88" s="241"/>
      <c r="C88" s="241">
        <v>67.398499999999999</v>
      </c>
      <c r="D88" s="241"/>
      <c r="F88" s="241"/>
      <c r="G88" s="241">
        <v>14.968999999999998</v>
      </c>
      <c r="H88" s="241"/>
    </row>
    <row r="89" spans="2:8" x14ac:dyDescent="0.25">
      <c r="B89" s="31"/>
      <c r="C89" s="31">
        <v>33.482999999999997</v>
      </c>
      <c r="D89" s="31"/>
      <c r="F89" s="31"/>
      <c r="G89" s="31">
        <v>23.798999999999999</v>
      </c>
      <c r="H89" s="31"/>
    </row>
  </sheetData>
  <autoFilter ref="B1:H89"/>
  <mergeCells count="1">
    <mergeCell ref="A1:A34"/>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85"/>
  <sheetViews>
    <sheetView zoomScale="80" zoomScaleNormal="80" workbookViewId="0">
      <selection activeCell="H27" sqref="H27"/>
    </sheetView>
  </sheetViews>
  <sheetFormatPr defaultRowHeight="15" x14ac:dyDescent="0.25"/>
  <cols>
    <col min="1" max="1" width="25.140625" customWidth="1"/>
    <col min="2" max="2" width="20.42578125" bestFit="1" customWidth="1"/>
    <col min="3" max="3" width="18.140625" bestFit="1" customWidth="1"/>
    <col min="4" max="4" width="16.28515625" customWidth="1"/>
    <col min="5" max="5" width="16.5703125" customWidth="1"/>
    <col min="6" max="6" width="18.140625" bestFit="1" customWidth="1"/>
    <col min="7" max="7" width="14.28515625" customWidth="1"/>
    <col min="8" max="8" width="12.42578125" customWidth="1"/>
    <col min="9" max="10" width="18.140625" bestFit="1" customWidth="1"/>
    <col min="11" max="11" width="17.42578125" customWidth="1"/>
    <col min="12" max="12" width="11.140625" customWidth="1"/>
    <col min="13" max="13" width="18.140625" bestFit="1" customWidth="1"/>
    <col min="14" max="14" width="9.42578125" bestFit="1" customWidth="1"/>
    <col min="15" max="17" width="7.28515625" bestFit="1" customWidth="1"/>
    <col min="19" max="19" width="9.42578125" bestFit="1" customWidth="1"/>
    <col min="20" max="20" width="10.140625" bestFit="1" customWidth="1"/>
    <col min="21" max="21" width="13.5703125" bestFit="1" customWidth="1"/>
    <col min="122" max="122" width="16.5703125" customWidth="1"/>
  </cols>
  <sheetData>
    <row r="1" spans="1:122" ht="15" customHeight="1" x14ac:dyDescent="0.25">
      <c r="A1" s="344" t="s">
        <v>392</v>
      </c>
      <c r="B1" s="6" t="s">
        <v>239</v>
      </c>
      <c r="C1" s="12" t="str">
        <f>'Task Durations'!D1</f>
        <v>001-13</v>
      </c>
      <c r="D1" s="12" t="str">
        <f>'Task Durations'!E1</f>
        <v>002-13</v>
      </c>
      <c r="E1" s="12" t="str">
        <f>'Task Durations'!F1</f>
        <v>003-13</v>
      </c>
      <c r="F1" s="12" t="str">
        <f>'Task Durations'!G1</f>
        <v>004-13</v>
      </c>
      <c r="G1" s="12" t="str">
        <f>'Task Durations'!H1</f>
        <v>005-13</v>
      </c>
      <c r="H1" s="12" t="str">
        <f>'Task Durations'!I1</f>
        <v>006-13</v>
      </c>
      <c r="I1" s="12" t="str">
        <f>'Task Durations'!J1</f>
        <v>007-13</v>
      </c>
      <c r="J1" s="12" t="str">
        <f>'Task Durations'!K1</f>
        <v>008-13</v>
      </c>
      <c r="K1" s="12" t="str">
        <f>'Task Durations'!L1</f>
        <v>009-13</v>
      </c>
      <c r="L1" s="12" t="str">
        <f>'Task Durations'!M1</f>
        <v>010-13</v>
      </c>
      <c r="M1" s="12" t="str">
        <f>'Task Durations'!N1</f>
        <v>011-13</v>
      </c>
      <c r="N1" s="12" t="str">
        <f>'Task Durations'!O1</f>
        <v>012-13</v>
      </c>
      <c r="O1" s="12" t="str">
        <f>'Task Durations'!P1</f>
        <v>013-13</v>
      </c>
      <c r="P1" s="12" t="str">
        <f>'Task Durations'!Q1</f>
        <v>014-13</v>
      </c>
      <c r="Q1" s="12" t="str">
        <f>'Task Durations'!R1</f>
        <v>015-13</v>
      </c>
      <c r="R1" s="12" t="str">
        <f>'Task Durations'!S1</f>
        <v>017-13</v>
      </c>
      <c r="S1" s="12" t="str">
        <f>'Task Durations'!T1</f>
        <v>018-13</v>
      </c>
      <c r="T1" s="12" t="str">
        <f>'Task Durations'!U1</f>
        <v>019-13</v>
      </c>
      <c r="U1" s="12" t="str">
        <f>'Task Durations'!V1</f>
        <v>020-13</v>
      </c>
      <c r="V1" s="12" t="str">
        <f>'Task Durations'!W1</f>
        <v>021-13</v>
      </c>
      <c r="W1" s="12" t="str">
        <f>'Task Durations'!X1</f>
        <v>022-13</v>
      </c>
      <c r="X1" s="12" t="str">
        <f>'Task Durations'!Y1</f>
        <v>023-13</v>
      </c>
      <c r="Y1" s="12" t="str">
        <f>'Task Durations'!Z1</f>
        <v>024-13</v>
      </c>
      <c r="Z1" s="12" t="str">
        <f>'Task Durations'!AA1</f>
        <v>026-13</v>
      </c>
      <c r="AA1" s="12" t="str">
        <f>'Task Durations'!AB1</f>
        <v>027-13</v>
      </c>
      <c r="AB1" s="12" t="str">
        <f>'Task Durations'!AC1</f>
        <v>028-13</v>
      </c>
      <c r="AC1" s="12" t="str">
        <f>'Task Durations'!AD1</f>
        <v>029-13</v>
      </c>
      <c r="AD1" s="12" t="str">
        <f>'Task Durations'!AE1</f>
        <v>030-13</v>
      </c>
      <c r="AE1" s="12" t="str">
        <f>'Task Durations'!AF1</f>
        <v>031-13</v>
      </c>
      <c r="AF1" s="12" t="str">
        <f>'Task Durations'!AG1</f>
        <v>032-13</v>
      </c>
      <c r="AG1" s="12" t="str">
        <f>'Task Durations'!AH1</f>
        <v>033-13</v>
      </c>
      <c r="AH1" s="12" t="str">
        <f>'Task Durations'!AI1</f>
        <v>034-13</v>
      </c>
      <c r="AI1" s="12" t="str">
        <f>'Task Durations'!AJ1</f>
        <v>035-13</v>
      </c>
      <c r="AJ1" s="12" t="str">
        <f>'Task Durations'!AK1</f>
        <v>036-13</v>
      </c>
      <c r="AK1" s="12" t="str">
        <f>'Task Durations'!AL1</f>
        <v>037-13</v>
      </c>
      <c r="AL1" s="12" t="str">
        <f>'Task Durations'!AM1</f>
        <v>038-13</v>
      </c>
      <c r="AM1" s="12" t="str">
        <f>'Task Durations'!AN1</f>
        <v>039-13</v>
      </c>
      <c r="AN1" s="12" t="str">
        <f>'Task Durations'!AO1</f>
        <v>040-13</v>
      </c>
      <c r="AO1" s="12" t="str">
        <f>'Task Durations'!AP1</f>
        <v>041-13</v>
      </c>
      <c r="AP1" s="12" t="str">
        <f>'Task Durations'!AQ1</f>
        <v>042-13</v>
      </c>
      <c r="AQ1" s="12" t="str">
        <f>'Task Durations'!AR1</f>
        <v>043-13</v>
      </c>
      <c r="AR1" s="12" t="str">
        <f>'Task Durations'!AS1</f>
        <v>045-13</v>
      </c>
      <c r="AS1" s="12" t="str">
        <f>'Task Durations'!AT1</f>
        <v>046-13</v>
      </c>
      <c r="AT1" s="12" t="str">
        <f>'Task Durations'!AU1</f>
        <v>047-13</v>
      </c>
      <c r="AU1" s="12" t="str">
        <f>'Task Durations'!AV1</f>
        <v>048-13</v>
      </c>
      <c r="AV1" s="12" t="str">
        <f>'Task Durations'!AW1</f>
        <v>049-13</v>
      </c>
      <c r="AW1" s="12" t="str">
        <f>'Task Durations'!AX1</f>
        <v>050-13</v>
      </c>
      <c r="AX1" s="12" t="str">
        <f>'Task Durations'!AY1</f>
        <v>052-13</v>
      </c>
      <c r="AY1" s="12" t="str">
        <f>'Task Durations'!AZ1</f>
        <v>053-13</v>
      </c>
      <c r="AZ1" s="12" t="str">
        <f>'Task Durations'!BA1</f>
        <v>054-13</v>
      </c>
      <c r="BA1" s="12" t="str">
        <f>'Task Durations'!BB1</f>
        <v>055-13</v>
      </c>
      <c r="BB1" s="12" t="str">
        <f>'Task Durations'!BC1</f>
        <v>057-13</v>
      </c>
      <c r="BC1" s="12" t="str">
        <f>'Task Durations'!BD1</f>
        <v>058-13</v>
      </c>
      <c r="BD1" s="12" t="str">
        <f>'Task Durations'!BE1</f>
        <v>059-13</v>
      </c>
      <c r="BE1" s="12" t="str">
        <f>'Task Durations'!BF1</f>
        <v>060-13</v>
      </c>
      <c r="BF1" s="12" t="str">
        <f>'Task Durations'!BG1</f>
        <v>061-13</v>
      </c>
      <c r="BG1" s="12" t="str">
        <f>'Task Durations'!BH1</f>
        <v>062-13</v>
      </c>
      <c r="BH1" s="12" t="str">
        <f>'Task Durations'!BI1</f>
        <v>063-13</v>
      </c>
      <c r="BI1" s="12" t="str">
        <f>'Task Durations'!BJ1</f>
        <v>064-13</v>
      </c>
      <c r="BJ1" s="12" t="str">
        <f>'Task Durations'!BK1</f>
        <v>065-13</v>
      </c>
      <c r="BK1" s="12" t="str">
        <f>'Task Durations'!BL1</f>
        <v>067-13</v>
      </c>
      <c r="BL1" s="12" t="str">
        <f>'Task Durations'!BM1</f>
        <v>068-13</v>
      </c>
      <c r="BM1" s="12" t="str">
        <f>'Task Durations'!BN1</f>
        <v>069-13</v>
      </c>
      <c r="BN1" s="12" t="str">
        <f>'Task Durations'!BO1</f>
        <v>070-13</v>
      </c>
      <c r="BO1" s="12" t="str">
        <f>'Task Durations'!BP1</f>
        <v>071-13</v>
      </c>
      <c r="BP1" s="12" t="str">
        <f>'Task Durations'!BQ1</f>
        <v>072-13</v>
      </c>
      <c r="BQ1" s="12" t="str">
        <f>'Task Durations'!BR1</f>
        <v>073-13</v>
      </c>
      <c r="BR1" s="12" t="str">
        <f>'Task Durations'!BS1</f>
        <v>074-13</v>
      </c>
      <c r="BS1" s="12" t="str">
        <f>'Task Durations'!BT1</f>
        <v>075-13</v>
      </c>
      <c r="BT1" s="12" t="str">
        <f>'Task Durations'!BU1</f>
        <v>076-13</v>
      </c>
      <c r="BU1" s="12" t="str">
        <f>'Task Durations'!BV1</f>
        <v>077-13</v>
      </c>
      <c r="BV1" s="12" t="str">
        <f>'Task Durations'!BW1</f>
        <v>078-13</v>
      </c>
      <c r="BW1" s="12" t="str">
        <f>'Task Durations'!BX1</f>
        <v>079-13</v>
      </c>
      <c r="BX1" s="12" t="str">
        <f>'Task Durations'!BY1</f>
        <v>080-13</v>
      </c>
      <c r="BY1" s="12" t="str">
        <f>'Task Durations'!BZ1</f>
        <v>081-13</v>
      </c>
      <c r="BZ1" s="12" t="str">
        <f>'Task Durations'!CA1</f>
        <v>082-13</v>
      </c>
      <c r="CA1" s="12" t="str">
        <f>'Task Durations'!CB1</f>
        <v>083-13</v>
      </c>
      <c r="CB1" s="12" t="str">
        <f>'Task Durations'!CC1</f>
        <v>084-13</v>
      </c>
      <c r="CC1" s="12" t="str">
        <f>'Task Durations'!CD1</f>
        <v>085-13</v>
      </c>
      <c r="CD1" s="12" t="str">
        <f>'Task Durations'!CE1</f>
        <v>086-13</v>
      </c>
      <c r="CE1" s="12" t="str">
        <f>'Task Durations'!CF1</f>
        <v>087-13</v>
      </c>
      <c r="CF1" s="12" t="str">
        <f>'Task Durations'!CG1</f>
        <v>088-13</v>
      </c>
      <c r="CG1" s="12" t="str">
        <f>'Task Durations'!CH1</f>
        <v>089-13</v>
      </c>
      <c r="CH1" s="12" t="str">
        <f>'Task Durations'!CI1</f>
        <v>090-13</v>
      </c>
      <c r="CI1" s="12" t="str">
        <f>'Task Durations'!CJ1</f>
        <v>091-13</v>
      </c>
      <c r="CJ1" s="12" t="str">
        <f>'Task Durations'!CK1</f>
        <v>092-13</v>
      </c>
      <c r="CK1" s="12" t="str">
        <f>'Task Durations'!CL1</f>
        <v>093-13</v>
      </c>
      <c r="CL1" s="12" t="str">
        <f>'Task Durations'!CM1</f>
        <v>094-13</v>
      </c>
      <c r="CM1">
        <f>95</f>
        <v>95</v>
      </c>
      <c r="CN1">
        <f>CM1+1</f>
        <v>96</v>
      </c>
      <c r="CO1">
        <f t="shared" ref="CO1:DQ1" si="0">CN1+1</f>
        <v>97</v>
      </c>
      <c r="CP1">
        <f t="shared" si="0"/>
        <v>98</v>
      </c>
      <c r="CQ1">
        <f t="shared" si="0"/>
        <v>99</v>
      </c>
      <c r="CR1">
        <f t="shared" si="0"/>
        <v>100</v>
      </c>
      <c r="CS1">
        <f t="shared" si="0"/>
        <v>101</v>
      </c>
      <c r="CT1">
        <f t="shared" si="0"/>
        <v>102</v>
      </c>
      <c r="CU1">
        <f t="shared" si="0"/>
        <v>103</v>
      </c>
      <c r="CV1">
        <f t="shared" si="0"/>
        <v>104</v>
      </c>
      <c r="CW1">
        <f t="shared" si="0"/>
        <v>105</v>
      </c>
      <c r="CX1">
        <f t="shared" si="0"/>
        <v>106</v>
      </c>
      <c r="CY1">
        <f t="shared" si="0"/>
        <v>107</v>
      </c>
      <c r="CZ1">
        <f t="shared" si="0"/>
        <v>108</v>
      </c>
      <c r="DA1">
        <f t="shared" si="0"/>
        <v>109</v>
      </c>
      <c r="DB1">
        <f t="shared" si="0"/>
        <v>110</v>
      </c>
      <c r="DC1">
        <f t="shared" si="0"/>
        <v>111</v>
      </c>
      <c r="DD1">
        <f t="shared" si="0"/>
        <v>112</v>
      </c>
      <c r="DE1">
        <f t="shared" si="0"/>
        <v>113</v>
      </c>
      <c r="DF1">
        <f t="shared" si="0"/>
        <v>114</v>
      </c>
      <c r="DG1">
        <f t="shared" si="0"/>
        <v>115</v>
      </c>
      <c r="DH1">
        <f>DG1+1</f>
        <v>116</v>
      </c>
      <c r="DI1">
        <f t="shared" si="0"/>
        <v>117</v>
      </c>
      <c r="DJ1">
        <f t="shared" si="0"/>
        <v>118</v>
      </c>
      <c r="DK1">
        <f t="shared" si="0"/>
        <v>119</v>
      </c>
      <c r="DL1">
        <f t="shared" si="0"/>
        <v>120</v>
      </c>
      <c r="DM1">
        <f t="shared" si="0"/>
        <v>121</v>
      </c>
      <c r="DN1">
        <f t="shared" si="0"/>
        <v>122</v>
      </c>
      <c r="DO1">
        <f t="shared" si="0"/>
        <v>123</v>
      </c>
      <c r="DP1">
        <f t="shared" si="0"/>
        <v>124</v>
      </c>
      <c r="DQ1">
        <f t="shared" si="0"/>
        <v>125</v>
      </c>
      <c r="DR1" s="376" t="s">
        <v>338</v>
      </c>
    </row>
    <row r="2" spans="1:122" x14ac:dyDescent="0.25">
      <c r="A2" s="345"/>
      <c r="B2" t="s">
        <v>240</v>
      </c>
      <c r="C2" t="str">
        <f>'Task Durations'!D6</f>
        <v>N60</v>
      </c>
      <c r="D2" t="str">
        <f>'Task Durations'!E6</f>
        <v>N60</v>
      </c>
      <c r="E2" t="str">
        <f>'Task Durations'!F6</f>
        <v>N60</v>
      </c>
      <c r="F2" t="str">
        <f>'Task Durations'!G6</f>
        <v>N60</v>
      </c>
      <c r="G2" t="str">
        <f>'Task Durations'!H6</f>
        <v>N60</v>
      </c>
      <c r="H2" t="str">
        <f>'Task Durations'!I6</f>
        <v>N60</v>
      </c>
      <c r="I2" t="str">
        <f>'Task Durations'!J6</f>
        <v>N60</v>
      </c>
      <c r="J2" t="str">
        <f>'Task Durations'!K6</f>
        <v>N60</v>
      </c>
      <c r="K2" t="str">
        <f>'Task Durations'!L6</f>
        <v>N60</v>
      </c>
      <c r="L2" t="str">
        <f>'Task Durations'!M6</f>
        <v>N60</v>
      </c>
      <c r="M2" t="str">
        <f>'Task Durations'!N6</f>
        <v>N60</v>
      </c>
      <c r="N2" t="str">
        <f>'Task Durations'!O6</f>
        <v>2lb Grab</v>
      </c>
      <c r="O2" t="str">
        <f>'Task Durations'!P6</f>
        <v>N60</v>
      </c>
      <c r="P2" t="str">
        <f>'Task Durations'!Q6</f>
        <v>N60</v>
      </c>
      <c r="Q2" t="str">
        <f>'Task Durations'!R6</f>
        <v>N60</v>
      </c>
      <c r="R2" t="str">
        <f>'Task Durations'!S6</f>
        <v>N60</v>
      </c>
      <c r="S2" t="str">
        <f>'Task Durations'!T6</f>
        <v>2lb Grab</v>
      </c>
      <c r="T2" t="str">
        <f>'Task Durations'!U6</f>
        <v>N60</v>
      </c>
      <c r="U2" t="str">
        <f>'Task Durations'!V6</f>
        <v>N60</v>
      </c>
      <c r="V2" t="str">
        <f>'Task Durations'!W6</f>
        <v>N60</v>
      </c>
      <c r="W2" t="str">
        <f>'Task Durations'!X6</f>
        <v>N60</v>
      </c>
      <c r="X2" t="str">
        <f>'Task Durations'!Y6</f>
        <v>N60</v>
      </c>
      <c r="Y2" t="str">
        <f>'Task Durations'!Z6</f>
        <v>N60</v>
      </c>
      <c r="Z2" t="str">
        <f>'Task Durations'!AA6</f>
        <v>2lb Grab</v>
      </c>
      <c r="AA2" t="str">
        <f>'Task Durations'!AB6</f>
        <v>N60</v>
      </c>
      <c r="AB2" t="str">
        <f>'Task Durations'!AC6</f>
        <v>N60</v>
      </c>
      <c r="AC2" t="str">
        <f>'Task Durations'!AD6</f>
        <v>N60</v>
      </c>
      <c r="AD2" t="str">
        <f>'Task Durations'!AE6</f>
        <v>N60</v>
      </c>
      <c r="AE2" t="str">
        <f>'Task Durations'!AF6</f>
        <v>N60</v>
      </c>
      <c r="AF2" t="str">
        <f>'Task Durations'!AG6</f>
        <v>N60</v>
      </c>
      <c r="AG2" t="str">
        <f>'Task Durations'!AH6</f>
        <v>2lb Grab</v>
      </c>
      <c r="AH2" t="str">
        <f>'Task Durations'!AI6</f>
        <v>N60</v>
      </c>
      <c r="AI2" t="str">
        <f>'Task Durations'!AJ6</f>
        <v>N60</v>
      </c>
      <c r="AJ2" t="str">
        <f>'Task Durations'!AK6</f>
        <v>N60</v>
      </c>
      <c r="AK2" t="str">
        <f>'Task Durations'!AL6</f>
        <v>N60</v>
      </c>
      <c r="AL2" t="str">
        <f>'Task Durations'!AM6</f>
        <v>N60</v>
      </c>
      <c r="AM2" t="str">
        <f>'Task Durations'!AN6</f>
        <v>N60</v>
      </c>
      <c r="AN2" t="str">
        <f>'Task Durations'!AO6</f>
        <v>N60</v>
      </c>
      <c r="AO2" t="str">
        <f>'Task Durations'!AP6</f>
        <v>N60</v>
      </c>
      <c r="AP2" t="str">
        <f>'Task Durations'!AQ6</f>
        <v>N60</v>
      </c>
      <c r="AQ2" t="str">
        <f>'Task Durations'!AR6</f>
        <v>N60</v>
      </c>
      <c r="AR2" t="str">
        <f>'Task Durations'!AS6</f>
        <v>N60</v>
      </c>
      <c r="AS2" t="str">
        <f>'Task Durations'!AT6</f>
        <v>N60</v>
      </c>
      <c r="AT2" t="str">
        <f>'Task Durations'!AU6</f>
        <v>N60</v>
      </c>
      <c r="AU2" t="str">
        <f>'Task Durations'!AV6</f>
        <v>N60</v>
      </c>
      <c r="AV2" t="str">
        <f>'Task Durations'!AW6</f>
        <v>N60</v>
      </c>
      <c r="AW2" t="str">
        <f>'Task Durations'!AX6</f>
        <v>N60</v>
      </c>
      <c r="AX2" t="str">
        <f>'Task Durations'!AY6</f>
        <v>N60</v>
      </c>
      <c r="AY2" t="str">
        <f>'Task Durations'!AZ6</f>
        <v>N60</v>
      </c>
      <c r="AZ2" t="str">
        <f>'Task Durations'!BA6</f>
        <v>N60</v>
      </c>
      <c r="BA2" t="str">
        <f>'Task Durations'!BB6</f>
        <v>N60</v>
      </c>
      <c r="BB2" t="str">
        <f>'Task Durations'!BC6</f>
        <v>N60</v>
      </c>
      <c r="BC2" t="str">
        <f>'Task Durations'!BD6</f>
        <v>N60</v>
      </c>
      <c r="BD2" t="str">
        <f>'Task Durations'!BE6</f>
        <v>N60</v>
      </c>
      <c r="BE2" t="str">
        <f>'Task Durations'!BF6</f>
        <v>N60</v>
      </c>
      <c r="BF2" t="str">
        <f>'Task Durations'!BG6</f>
        <v>N60</v>
      </c>
      <c r="BG2" t="str">
        <f>'Task Durations'!BH6</f>
        <v>N60</v>
      </c>
      <c r="BH2" t="str">
        <f>'Task Durations'!BI6</f>
        <v>N60</v>
      </c>
      <c r="BI2" t="str">
        <f>'Task Durations'!BJ6</f>
        <v>N60</v>
      </c>
      <c r="BJ2" t="str">
        <f>'Task Durations'!BK6</f>
        <v>2lb Grab</v>
      </c>
      <c r="BK2" t="str">
        <f>'Task Durations'!BL6</f>
        <v>N60</v>
      </c>
      <c r="BL2" t="str">
        <f>'Task Durations'!BM6</f>
        <v>N60</v>
      </c>
      <c r="BM2" t="str">
        <f>'Task Durations'!BN6</f>
        <v>N60</v>
      </c>
      <c r="BN2" t="str">
        <f>'Task Durations'!BO6</f>
        <v>N60</v>
      </c>
      <c r="BO2" t="str">
        <f>'Task Durations'!BP6</f>
        <v>N60</v>
      </c>
      <c r="BP2" t="str">
        <f>'Task Durations'!BQ6</f>
        <v>N60</v>
      </c>
      <c r="BQ2" t="str">
        <f>'Task Durations'!BR6</f>
        <v>N60</v>
      </c>
      <c r="BR2" t="str">
        <f>'Task Durations'!BS6</f>
        <v>N60</v>
      </c>
      <c r="BS2" t="str">
        <f>'Task Durations'!BT6</f>
        <v>N60</v>
      </c>
      <c r="BT2" t="str">
        <f>'Task Durations'!BU6</f>
        <v>N60</v>
      </c>
      <c r="BU2" t="str">
        <f>'Task Durations'!BV6</f>
        <v>N60</v>
      </c>
      <c r="BV2" t="str">
        <f>'Task Durations'!BW6</f>
        <v>N60</v>
      </c>
      <c r="BW2" t="str">
        <f>'Task Durations'!BX6</f>
        <v>2lb Grab</v>
      </c>
      <c r="BX2" t="str">
        <f>'Task Durations'!BY6</f>
        <v>2lb Grab</v>
      </c>
      <c r="BY2" t="str">
        <f>'Task Durations'!BZ6</f>
        <v>N60</v>
      </c>
      <c r="BZ2" t="str">
        <f>'Task Durations'!CA6</f>
        <v>2lb Grab</v>
      </c>
      <c r="CA2" t="str">
        <f>'Task Durations'!CB6</f>
        <v>N60</v>
      </c>
      <c r="CB2" t="str">
        <f>'Task Durations'!CC6</f>
        <v>N60</v>
      </c>
      <c r="CC2" t="str">
        <f>'Task Durations'!CD6</f>
        <v>N60</v>
      </c>
      <c r="CD2" t="str">
        <f>'Task Durations'!CE6</f>
        <v>N60</v>
      </c>
      <c r="CE2" t="str">
        <f>'Task Durations'!CF6</f>
        <v>2lb Grab</v>
      </c>
      <c r="CF2" t="str">
        <f>'Task Durations'!CG6</f>
        <v>N60</v>
      </c>
      <c r="CG2" t="str">
        <f>'Task Durations'!CH6</f>
        <v>N60</v>
      </c>
      <c r="CH2" t="str">
        <f>'Task Durations'!CI6</f>
        <v>N60</v>
      </c>
      <c r="CI2" t="str">
        <f>'Task Durations'!CJ6</f>
        <v>N60</v>
      </c>
      <c r="CJ2" t="str">
        <f>'Task Durations'!CK6</f>
        <v>N60</v>
      </c>
      <c r="CK2" t="str">
        <f>'Task Durations'!CL6</f>
        <v>N60</v>
      </c>
      <c r="CL2" t="str">
        <f>'Task Durations'!CM6</f>
        <v>N60</v>
      </c>
      <c r="DR2" s="376"/>
    </row>
    <row r="3" spans="1:122" x14ac:dyDescent="0.25">
      <c r="A3" s="345"/>
      <c r="B3" t="s">
        <v>102</v>
      </c>
      <c r="C3" s="97">
        <f>IF(SUMIF('Task Durations'!$C$10:$C$34, "Direct",'Task Durations'!D10:D34)&lt;&gt;0,SUMIF('Task Durations'!$C$10:$C$34, "Direct",'Task Durations'!D10:D34))</f>
        <v>40.016666666666666</v>
      </c>
      <c r="D3" s="97">
        <f>IF(SUMIF('Task Durations'!$C$10:$C$34, "Direct",'Task Durations'!E10:E34)&lt;&gt;0,SUMIF('Task Durations'!$C$10:$C$34, "Direct",'Task Durations'!E10:E34))</f>
        <v>38.899000000000008</v>
      </c>
      <c r="E3" s="97">
        <f>IF(SUMIF('Task Durations'!$C$10:$C$34, "Direct",'Task Durations'!F10:F34)&lt;&gt;0,SUMIF('Task Durations'!$C$10:$C$34, "Direct",'Task Durations'!F10:F34))</f>
        <v>32.733333333333334</v>
      </c>
      <c r="F3" s="97">
        <f>IF(SUMIF('Task Durations'!$C$10:$C$34, "Direct",'Task Durations'!G10:G34)&lt;&gt;0,SUMIF('Task Durations'!$C$10:$C$34, "Direct",'Task Durations'!G10:G34))</f>
        <v>26.717999999999993</v>
      </c>
      <c r="G3" s="97">
        <f>IF(SUMIF('Task Durations'!$C$10:$C$34, "Direct",'Task Durations'!H10:H34)&lt;&gt;0,SUMIF('Task Durations'!$C$10:$C$34, "Direct",'Task Durations'!H10:H34))</f>
        <v>25.465999999999998</v>
      </c>
      <c r="H3" s="97">
        <f>IF(SUMIF('Task Durations'!$C$10:$C$34, "Direct",'Task Durations'!I10:I34)&lt;&gt;0,SUMIF('Task Durations'!$C$10:$C$34, "Direct",'Task Durations'!I10:I34))</f>
        <v>24.65</v>
      </c>
      <c r="I3" s="97">
        <f>IF(SUMIF('Task Durations'!$C$10:$C$34, "Direct",'Task Durations'!J10:J34)&lt;&gt;0,SUMIF('Task Durations'!$C$10:$C$34, "Direct",'Task Durations'!J10:J34))</f>
        <v>57.766666666666666</v>
      </c>
      <c r="J3" s="97">
        <f>IF(SUMIF('Task Durations'!$C$10:$C$34, "Direct",'Task Durations'!K10:K34)&lt;&gt;0,SUMIF('Task Durations'!$C$10:$C$34, "Direct",'Task Durations'!K10:K34))</f>
        <v>44.332999999999998</v>
      </c>
      <c r="K3" s="97">
        <f>IF(SUMIF('Task Durations'!$C$10:$C$34, "Direct",'Task Durations'!L10:L34)&lt;&gt;0,SUMIF('Task Durations'!$C$10:$C$34, "Direct",'Task Durations'!L10:L34))</f>
        <v>29.419</v>
      </c>
      <c r="L3" s="97">
        <f>IF(SUMIF('Task Durations'!$C$10:$C$34, "Direct",'Task Durations'!M10:M34)&lt;&gt;0,SUMIF('Task Durations'!$C$10:$C$34, "Direct",'Task Durations'!M10:M34))</f>
        <v>41.783000000000001</v>
      </c>
      <c r="M3" s="97">
        <f>IF(SUMIF('Task Durations'!$C$10:$C$34, "Direct",'Task Durations'!N10:N34)&lt;&gt;0,SUMIF('Task Durations'!$C$10:$C$34, "Direct",'Task Durations'!N10:N34))</f>
        <v>36.5837</v>
      </c>
      <c r="N3" s="97">
        <f>IF(SUMIF('Task Durations'!$C$10:$C$34, "Direct",'Task Durations'!O10:O34)&lt;&gt;0,SUMIF('Task Durations'!$C$10:$C$34, "Direct",'Task Durations'!O10:O34))</f>
        <v>24.417000000000002</v>
      </c>
      <c r="O3" s="97">
        <f>IF(SUMIF('Task Durations'!$C$10:$C$34, "Direct",'Task Durations'!P10:P34)&lt;&gt;0,SUMIF('Task Durations'!$C$10:$C$34, "Direct",'Task Durations'!P10:P34))</f>
        <v>42.265999999999998</v>
      </c>
      <c r="P3" s="97">
        <f>IF(SUMIF('Task Durations'!$C$10:$C$34, "Direct",'Task Durations'!Q10:Q34)&lt;&gt;0,SUMIF('Task Durations'!$C$10:$C$34, "Direct",'Task Durations'!Q10:Q34))</f>
        <v>48.048999999999992</v>
      </c>
      <c r="Q3" s="97">
        <f>IF(SUMIF('Task Durations'!$C$10:$C$34, "Direct",'Task Durations'!R10:R34)&lt;&gt;0,SUMIF('Task Durations'!$C$10:$C$34, "Direct",'Task Durations'!R10:R34))</f>
        <v>15.75</v>
      </c>
      <c r="R3" s="97">
        <f>IF(SUMIF('Task Durations'!$C$10:$C$34, "Direct",'Task Durations'!S10:S34)&lt;&gt;0,SUMIF('Task Durations'!$C$10:$C$34, "Direct",'Task Durations'!S10:S34))</f>
        <v>19.420999999999999</v>
      </c>
      <c r="S3" s="97">
        <f>IF(SUMIF('Task Durations'!$C$10:$C$34, "Direct",'Task Durations'!T10:T34)&lt;&gt;0,SUMIF('Task Durations'!$C$10:$C$34, "Direct",'Task Durations'!T10:T34))</f>
        <v>35.667000000000002</v>
      </c>
      <c r="T3" s="97">
        <f>IF(SUMIF('Task Durations'!$C$10:$C$34, "Direct",'Task Durations'!U10:U34)&lt;&gt;0,SUMIF('Task Durations'!$C$10:$C$34, "Direct",'Task Durations'!U10:U34))</f>
        <v>40.149700000000003</v>
      </c>
      <c r="U3" s="97">
        <f>IF(SUMIF('Task Durations'!$C$10:$C$34, "Direct",'Task Durations'!V10:V34)&lt;&gt;0,SUMIF('Task Durations'!$C$10:$C$34, "Direct",'Task Durations'!V10:V34))</f>
        <v>62.499000000000009</v>
      </c>
      <c r="V3" s="97">
        <f>IF(SUMIF('Task Durations'!$C$10:$C$34, "Direct",'Task Durations'!W10:W34)&lt;&gt;0,SUMIF('Task Durations'!$C$10:$C$34, "Direct",'Task Durations'!W10:W34))</f>
        <v>31.766300000000001</v>
      </c>
      <c r="W3" s="97">
        <f>IF(SUMIF('Task Durations'!$C$10:$C$34, "Direct",'Task Durations'!X10:X34)&lt;&gt;0,SUMIF('Task Durations'!$C$10:$C$34, "Direct",'Task Durations'!X10:X34))</f>
        <v>32.850300000000004</v>
      </c>
      <c r="X3" s="97">
        <f>IF(SUMIF('Task Durations'!$C$10:$C$34, "Direct",'Task Durations'!Y10:Y34)&lt;&gt;0,SUMIF('Task Durations'!$C$10:$C$34, "Direct",'Task Durations'!Y10:Y34))</f>
        <v>51.498699999999999</v>
      </c>
      <c r="Y3" s="97">
        <f>IF(SUMIF('Task Durations'!$C$10:$C$34, "Direct",'Task Durations'!Z10:Z34)&lt;&gt;0,SUMIF('Task Durations'!$C$10:$C$34, "Direct",'Task Durations'!Z10:Z34))</f>
        <v>27.980000000000004</v>
      </c>
      <c r="Z3" s="97">
        <f>IF(SUMIF('Task Durations'!$C$10:$C$34, "Direct",'Task Durations'!AA10:AA34)&lt;&gt;0,SUMIF('Task Durations'!$C$10:$C$34, "Direct",'Task Durations'!AA10:AA34))</f>
        <v>15.433</v>
      </c>
      <c r="AA3" s="97">
        <f>IF(SUMIF('Task Durations'!$C$10:$C$34, "Direct",'Task Durations'!AB10:AB34)&lt;&gt;0,SUMIF('Task Durations'!$C$10:$C$34, "Direct",'Task Durations'!AB10:AB34))</f>
        <v>53.549700000000001</v>
      </c>
      <c r="AB3" s="97">
        <f>IF(SUMIF('Task Durations'!$C$10:$C$34, "Direct",'Task Durations'!AC10:AC34)&lt;&gt;0,SUMIF('Task Durations'!$C$10:$C$34, "Direct",'Task Durations'!AC10:AC34))</f>
        <v>27.739000000000001</v>
      </c>
      <c r="AC3" s="97">
        <f>IF(SUMIF('Task Durations'!$C$10:$C$34, "Direct",'Task Durations'!AD10:AD34)&lt;&gt;0,SUMIF('Task Durations'!$C$10:$C$34, "Direct",'Task Durations'!AD10:AD34))</f>
        <v>23.023300000000003</v>
      </c>
      <c r="AD3" s="97">
        <f>IF(SUMIF('Task Durations'!$C$10:$C$34, "Direct",'Task Durations'!AE10:AE34)&lt;&gt;0,SUMIF('Task Durations'!$C$10:$C$34, "Direct",'Task Durations'!AE10:AE34))</f>
        <v>43.187000000000005</v>
      </c>
      <c r="AE3" s="97">
        <f>IF(SUMIF('Task Durations'!$C$10:$C$34, "Direct",'Task Durations'!AF10:AF34)&lt;&gt;0,SUMIF('Task Durations'!$C$10:$C$34, "Direct",'Task Durations'!AF10:AF34))</f>
        <v>41.3504</v>
      </c>
      <c r="AF3" s="97">
        <f>IF(SUMIF('Task Durations'!$C$10:$C$34, "Direct",'Task Durations'!AG10:AG34)&lt;&gt;0,SUMIF('Task Durations'!$C$10:$C$34, "Direct",'Task Durations'!AG10:AG34))</f>
        <v>28.849000000000004</v>
      </c>
      <c r="AG3" s="97">
        <f>IF(SUMIF('Task Durations'!$C$10:$C$34, "Direct",'Task Durations'!AH10:AH34)&lt;&gt;0,SUMIF('Task Durations'!$C$10:$C$34, "Direct",'Task Durations'!AH10:AH34))</f>
        <v>29.700000000000003</v>
      </c>
      <c r="AH3" s="97">
        <f>IF(SUMIF('Task Durations'!$C$10:$C$34, "Direct",'Task Durations'!AI10:AI34)&lt;&gt;0,SUMIF('Task Durations'!$C$10:$C$34, "Direct",'Task Durations'!AI10:AI34))</f>
        <v>43.500700000000002</v>
      </c>
      <c r="AI3" s="97">
        <f>IF(SUMIF('Task Durations'!$C$10:$C$34, "Direct",'Task Durations'!AJ10:AJ34)&lt;&gt;0,SUMIF('Task Durations'!$C$10:$C$34, "Direct",'Task Durations'!AJ10:AJ34))</f>
        <v>41.670999999999999</v>
      </c>
      <c r="AJ3" s="97">
        <f>IF(SUMIF('Task Durations'!$C$10:$C$34, "Direct",'Task Durations'!AK10:AK34)&lt;&gt;0,SUMIF('Task Durations'!$C$10:$C$34, "Direct",'Task Durations'!AK10:AK34))</f>
        <v>35.482999999999997</v>
      </c>
      <c r="AK3" s="97">
        <f>IF(SUMIF('Task Durations'!$C$10:$C$34, "Direct",'Task Durations'!AL10:AL34)&lt;&gt;0,SUMIF('Task Durations'!$C$10:$C$34, "Direct",'Task Durations'!AL10:AL34))</f>
        <v>52.750999999999998</v>
      </c>
      <c r="AL3" s="97">
        <f>IF(SUMIF('Task Durations'!$C$10:$C$34, "Direct",'Task Durations'!AM10:AM34)&lt;&gt;0,SUMIF('Task Durations'!$C$10:$C$34, "Direct",'Task Durations'!AM10:AM34))</f>
        <v>36.750000000000007</v>
      </c>
      <c r="AM3" s="97">
        <f>IF(SUMIF('Task Durations'!$C$10:$C$34, "Direct",'Task Durations'!AN10:AN34)&lt;&gt;0,SUMIF('Task Durations'!$C$10:$C$34, "Direct",'Task Durations'!AN10:AN34))</f>
        <v>39.349999999999994</v>
      </c>
      <c r="AN3" s="97">
        <f>IF(SUMIF('Task Durations'!$C$10:$C$34, "Direct",'Task Durations'!AO10:AO34)&lt;&gt;0,SUMIF('Task Durations'!$C$10:$C$34, "Direct",'Task Durations'!AO10:AO34))</f>
        <v>40.414999999999999</v>
      </c>
      <c r="AO3" s="97">
        <f>IF(SUMIF('Task Durations'!$C$10:$C$34, "Direct",'Task Durations'!AP10:AP34)&lt;&gt;0,SUMIF('Task Durations'!$C$10:$C$34, "Direct",'Task Durations'!AP10:AP34))</f>
        <v>33.766000000000005</v>
      </c>
      <c r="AP3" s="97">
        <f>IF(SUMIF('Task Durations'!$C$10:$C$34, "Direct",'Task Durations'!AQ10:AQ34)&lt;&gt;0,SUMIF('Task Durations'!$C$10:$C$34, "Direct",'Task Durations'!AQ10:AQ34))</f>
        <v>22.016399999999997</v>
      </c>
      <c r="AQ3" s="97">
        <f>IF(SUMIF('Task Durations'!$C$10:$C$34, "Direct",'Task Durations'!AR10:AR34)&lt;&gt;0,SUMIF('Task Durations'!$C$10:$C$34, "Direct",'Task Durations'!AR10:AR34))</f>
        <v>30.051000000000002</v>
      </c>
      <c r="AR3" s="97">
        <f>IF(SUMIF('Task Durations'!$C$10:$C$34, "Direct",'Task Durations'!AS10:AS34)&lt;&gt;0,SUMIF('Task Durations'!$C$10:$C$34, "Direct",'Task Durations'!AS10:AS34))</f>
        <v>59.820500000000003</v>
      </c>
      <c r="AS3" s="97">
        <f>IF(SUMIF('Task Durations'!$C$10:$C$34, "Direct",'Task Durations'!AT10:AT34)&lt;&gt;0,SUMIF('Task Durations'!$C$10:$C$34, "Direct",'Task Durations'!AT10:AT34))</f>
        <v>38.116999999999997</v>
      </c>
      <c r="AT3" s="97">
        <f>IF(SUMIF('Task Durations'!$C$10:$C$34, "Direct",'Task Durations'!AU10:AU34)&lt;&gt;0,SUMIF('Task Durations'!$C$10:$C$34, "Direct",'Task Durations'!AU10:AU34))</f>
        <v>32.9</v>
      </c>
      <c r="AU3" s="97">
        <f>IF(SUMIF('Task Durations'!$C$10:$C$34, "Direct",'Task Durations'!AV10:AV34)&lt;&gt;0,SUMIF('Task Durations'!$C$10:$C$34, "Direct",'Task Durations'!AV10:AV34))</f>
        <v>20.515999999999998</v>
      </c>
      <c r="AV3" s="97">
        <f>IF(SUMIF('Task Durations'!$C$10:$C$34, "Direct",'Task Durations'!AW10:AW34)&lt;&gt;0,SUMIF('Task Durations'!$C$10:$C$34, "Direct",'Task Durations'!AW10:AW34))</f>
        <v>51.100299999999997</v>
      </c>
      <c r="AW3" s="97">
        <f>IF(SUMIF('Task Durations'!$C$10:$C$34, "Direct",'Task Durations'!AX10:AX34)&lt;&gt;0,SUMIF('Task Durations'!$C$10:$C$34, "Direct",'Task Durations'!AX10:AX34))</f>
        <v>61.084000000000003</v>
      </c>
      <c r="AX3" s="97">
        <f>IF(SUMIF('Task Durations'!$C$10:$C$34, "Direct",'Task Durations'!AY10:AY34)&lt;&gt;0,SUMIF('Task Durations'!$C$10:$C$34, "Direct",'Task Durations'!AY10:AY34))</f>
        <v>26.166</v>
      </c>
      <c r="AY3" s="97">
        <f>IF(SUMIF('Task Durations'!$C$10:$C$34, "Direct",'Task Durations'!AZ10:AZ34)&lt;&gt;0,SUMIF('Task Durations'!$C$10:$C$34, "Direct",'Task Durations'!AZ10:AZ34))</f>
        <v>46.199700000000007</v>
      </c>
      <c r="AZ3" s="97">
        <f>IF(SUMIF('Task Durations'!$C$10:$C$34, "Direct",'Task Durations'!BA10:BA34)&lt;&gt;0,SUMIF('Task Durations'!$C$10:$C$34, "Direct",'Task Durations'!BA10:BA34))</f>
        <v>57.5336</v>
      </c>
      <c r="BA3" s="97">
        <f>IF(SUMIF('Task Durations'!$C$10:$C$34, "Direct",'Task Durations'!BB10:BB34)&lt;&gt;0,SUMIF('Task Durations'!$C$10:$C$34, "Direct",'Task Durations'!BB10:BB34))</f>
        <v>20.882999999999999</v>
      </c>
      <c r="BB3" s="97">
        <f>IF(SUMIF('Task Durations'!$C$10:$C$34, "Direct",'Task Durations'!BC10:BC34)&lt;&gt;0,SUMIF('Task Durations'!$C$10:$C$34, "Direct",'Task Durations'!BC10:BC34))</f>
        <v>42.416000000000004</v>
      </c>
      <c r="BC3" s="97">
        <f>IF(SUMIF('Task Durations'!$C$10:$C$34, "Direct",'Task Durations'!BD10:BD34)&lt;&gt;0,SUMIF('Task Durations'!$C$10:$C$34, "Direct",'Task Durations'!BD10:BD34))</f>
        <v>41.515999999999998</v>
      </c>
      <c r="BD3" s="97">
        <f>IF(SUMIF('Task Durations'!$C$10:$C$34, "Direct",'Task Durations'!BE10:BE34)&lt;&gt;0,SUMIF('Task Durations'!$C$10:$C$34, "Direct",'Task Durations'!BE10:BE34))</f>
        <v>29.432299999999998</v>
      </c>
      <c r="BE3" s="97">
        <f>IF(SUMIF('Task Durations'!$C$10:$C$34, "Direct",'Task Durations'!BF10:BF34)&lt;&gt;0,SUMIF('Task Durations'!$C$10:$C$34, "Direct",'Task Durations'!BF10:BF34))</f>
        <v>29.467000000000002</v>
      </c>
      <c r="BF3" s="97">
        <f>IF(SUMIF('Task Durations'!$C$10:$C$34, "Direct",'Task Durations'!BG10:BG34)&lt;&gt;0,SUMIF('Task Durations'!$C$10:$C$34, "Direct",'Task Durations'!BG10:BG34))</f>
        <v>34.645199999999996</v>
      </c>
      <c r="BG3" s="97">
        <f>IF(SUMIF('Task Durations'!$C$10:$C$34, "Direct",'Task Durations'!BH10:BH34)&lt;&gt;0,SUMIF('Task Durations'!$C$10:$C$34, "Direct",'Task Durations'!BH10:BH34))</f>
        <v>36.266299999999994</v>
      </c>
      <c r="BH3" s="97">
        <f>IF(SUMIF('Task Durations'!$C$10:$C$34, "Direct",'Task Durations'!BI10:BI34)&lt;&gt;0,SUMIF('Task Durations'!$C$10:$C$34, "Direct",'Task Durations'!BI10:BI34))</f>
        <v>19.541999999999998</v>
      </c>
      <c r="BI3" s="97">
        <f>IF(SUMIF('Task Durations'!$C$10:$C$34, "Direct",'Task Durations'!BJ10:BJ34)&lt;&gt;0,SUMIF('Task Durations'!$C$10:$C$34, "Direct",'Task Durations'!BJ10:BJ34))</f>
        <v>25.966999999999999</v>
      </c>
      <c r="BJ3" s="97">
        <f>IF(SUMIF('Task Durations'!$C$10:$C$34, "Direct",'Task Durations'!BK10:BK34)&lt;&gt;0,SUMIF('Task Durations'!$C$10:$C$34, "Direct",'Task Durations'!BK10:BK34))</f>
        <v>13.1</v>
      </c>
      <c r="BK3" s="97">
        <f>IF(SUMIF('Task Durations'!$C$10:$C$34, "Direct",'Task Durations'!BL10:BL34)&lt;&gt;0,SUMIF('Task Durations'!$C$10:$C$34, "Direct",'Task Durations'!BL10:BL34))</f>
        <v>37.509300000000003</v>
      </c>
      <c r="BL3" s="97">
        <f>IF(SUMIF('Task Durations'!$C$10:$C$34, "Direct",'Task Durations'!BM10:BM34)&lt;&gt;0,SUMIF('Task Durations'!$C$10:$C$34, "Direct",'Task Durations'!BM10:BM34))</f>
        <v>19.549299999999999</v>
      </c>
      <c r="BM3" s="97">
        <f>IF(SUMIF('Task Durations'!$C$10:$C$34, "Direct",'Task Durations'!BN10:BN34)&lt;&gt;0,SUMIF('Task Durations'!$C$10:$C$34, "Direct",'Task Durations'!BN10:BN34))</f>
        <v>31.0717</v>
      </c>
      <c r="BN3" s="97">
        <f>IF(SUMIF('Task Durations'!$C$10:$C$34, "Direct",'Task Durations'!BO10:BO34)&lt;&gt;0,SUMIF('Task Durations'!$C$10:$C$34, "Direct",'Task Durations'!BO10:BO34))</f>
        <v>28.6493</v>
      </c>
      <c r="BO3" s="97">
        <f>IF(SUMIF('Task Durations'!$C$10:$C$34, "Direct",'Task Durations'!BP10:BP34)&lt;&gt;0,SUMIF('Task Durations'!$C$10:$C$34, "Direct",'Task Durations'!BP10:BP34))</f>
        <v>60.104999999999997</v>
      </c>
      <c r="BP3" s="97">
        <f>IF(SUMIF('Task Durations'!$C$10:$C$34, "Direct",'Task Durations'!BQ10:BQ34)&lt;&gt;0,SUMIF('Task Durations'!$C$10:$C$34, "Direct",'Task Durations'!BQ10:BQ34))</f>
        <v>21.351000000000003</v>
      </c>
      <c r="BQ3" s="97">
        <f>IF(SUMIF('Task Durations'!$C$10:$C$34, "Direct",'Task Durations'!BR10:BR34)&lt;&gt;0,SUMIF('Task Durations'!$C$10:$C$34, "Direct",'Task Durations'!BR10:BR34))</f>
        <v>33.483700000000006</v>
      </c>
      <c r="BR3" s="97">
        <f>IF(SUMIF('Task Durations'!$C$10:$C$34, "Direct",'Task Durations'!BS10:BS34)&lt;&gt;0,SUMIF('Task Durations'!$C$10:$C$34, "Direct",'Task Durations'!BS10:BS34))</f>
        <v>46.535999999999994</v>
      </c>
      <c r="BS3" s="97">
        <f>IF(SUMIF('Task Durations'!$C$10:$C$34, "Direct",'Task Durations'!BT10:BT34)&lt;&gt;0,SUMIF('Task Durations'!$C$10:$C$34, "Direct",'Task Durations'!BT10:BT34))</f>
        <v>46.982999999999997</v>
      </c>
      <c r="BT3" s="97">
        <f>IF(SUMIF('Task Durations'!$C$10:$C$34, "Direct",'Task Durations'!BU10:BU34)&lt;&gt;0,SUMIF('Task Durations'!$C$10:$C$34, "Direct",'Task Durations'!BU10:BU34))</f>
        <v>64.816300000000012</v>
      </c>
      <c r="BU3" s="97">
        <f>IF(SUMIF('Task Durations'!$C$10:$C$34, "Direct",'Task Durations'!BV10:BV34)&lt;&gt;0,SUMIF('Task Durations'!$C$10:$C$34, "Direct",'Task Durations'!BV10:BV34))</f>
        <v>45.216999999999999</v>
      </c>
      <c r="BV3" s="97">
        <f>IF(SUMIF('Task Durations'!$C$10:$C$34, "Direct",'Task Durations'!BW10:BW34)&lt;&gt;0,SUMIF('Task Durations'!$C$10:$C$34, "Direct",'Task Durations'!BW10:BW34))</f>
        <v>46.216999999999992</v>
      </c>
      <c r="BW3" s="97">
        <f>IF(SUMIF('Task Durations'!$C$10:$C$34, "Direct",'Task Durations'!BX10:BX34)&lt;&gt;0,SUMIF('Task Durations'!$C$10:$C$34, "Direct",'Task Durations'!BX10:BX34))</f>
        <v>15.716700000000001</v>
      </c>
      <c r="BX3" s="97">
        <f>IF(SUMIF('Task Durations'!$C$10:$C$34, "Direct",'Task Durations'!BY10:BY34)&lt;&gt;0,SUMIF('Task Durations'!$C$10:$C$34, "Direct",'Task Durations'!BY10:BY34))</f>
        <v>8.3333000000000013</v>
      </c>
      <c r="BY3" s="97">
        <f>IF(SUMIF('Task Durations'!$C$10:$C$34, "Direct",'Task Durations'!BZ10:BZ34)&lt;&gt;0,SUMIF('Task Durations'!$C$10:$C$34, "Direct",'Task Durations'!BZ10:BZ34))</f>
        <v>32.732700000000001</v>
      </c>
      <c r="BZ3" s="97">
        <f>IF(SUMIF('Task Durations'!$C$10:$C$34, "Direct",'Task Durations'!CA10:CA34)&lt;&gt;0,SUMIF('Task Durations'!$C$10:$C$34, "Direct",'Task Durations'!CA10:CA34))</f>
        <v>6.2006999999999994</v>
      </c>
      <c r="CA3" s="97">
        <f>IF(SUMIF('Task Durations'!$C$10:$C$34, "Direct",'Task Durations'!CB10:CB34)&lt;&gt;0,SUMIF('Task Durations'!$C$10:$C$34, "Direct",'Task Durations'!CB10:CB34))</f>
        <v>48.466999999999999</v>
      </c>
      <c r="CB3" s="97">
        <f>IF(SUMIF('Task Durations'!$C$10:$C$34, "Direct",'Task Durations'!CC10:CC34)&lt;&gt;0,SUMIF('Task Durations'!$C$10:$C$34, "Direct",'Task Durations'!CC10:CC34))</f>
        <v>39.884000000000007</v>
      </c>
      <c r="CC3" s="97">
        <f>IF(SUMIF('Task Durations'!$C$10:$C$34, "Direct",'Task Durations'!CD10:CD34)&lt;&gt;0,SUMIF('Task Durations'!$C$10:$C$34, "Direct",'Task Durations'!CD10:CD34))</f>
        <v>39.701999999999998</v>
      </c>
      <c r="CD3" s="97">
        <f>IF(SUMIF('Task Durations'!$C$10:$C$34, "Direct",'Task Durations'!CE10:CE34)&lt;&gt;0,SUMIF('Task Durations'!$C$10:$C$34, "Direct",'Task Durations'!CE10:CE34))</f>
        <v>8.85</v>
      </c>
      <c r="CE3" s="97">
        <f>IF(SUMIF('Task Durations'!$C$10:$C$34, "Direct",'Task Durations'!CF10:CF34)&lt;&gt;0,SUMIF('Task Durations'!$C$10:$C$34, "Direct",'Task Durations'!CF10:CF34))</f>
        <v>18.533000000000001</v>
      </c>
      <c r="CF3" s="97">
        <f>IF(SUMIF('Task Durations'!$C$10:$C$34, "Direct",'Task Durations'!CG10:CG34)&lt;&gt;0,SUMIF('Task Durations'!$C$10:$C$34, "Direct",'Task Durations'!CG10:CG34))</f>
        <v>48.633299999999998</v>
      </c>
      <c r="CG3" s="97">
        <f>IF(SUMIF('Task Durations'!$C$10:$C$34, "Direct",'Task Durations'!CH10:CH34)&lt;&gt;0,SUMIF('Task Durations'!$C$10:$C$34, "Direct",'Task Durations'!CH10:CH34))</f>
        <v>27.3</v>
      </c>
      <c r="CH3" s="97">
        <f>IF(SUMIF('Task Durations'!$C$10:$C$34, "Direct",'Task Durations'!CI10:CI34)&lt;&gt;0,SUMIF('Task Durations'!$C$10:$C$34, "Direct",'Task Durations'!CI10:CI34))</f>
        <v>63</v>
      </c>
      <c r="CI3" s="97">
        <f>IF(SUMIF('Task Durations'!$C$10:$C$34, "Direct",'Task Durations'!CJ10:CJ34)&lt;&gt;0,SUMIF('Task Durations'!$C$10:$C$34, "Direct",'Task Durations'!CJ10:CJ34))</f>
        <v>30.383000000000003</v>
      </c>
      <c r="CJ3" s="97">
        <f>IF(SUMIF('Task Durations'!$C$10:$C$34, "Direct",'Task Durations'!CK10:CK34)&lt;&gt;0,SUMIF('Task Durations'!$C$10:$C$34, "Direct",'Task Durations'!CK10:CK34))</f>
        <v>52.516999999999996</v>
      </c>
      <c r="CK3" s="97">
        <f>IF(SUMIF('Task Durations'!$C$10:$C$34, "Direct",'Task Durations'!CL10:CL34)&lt;&gt;0,SUMIF('Task Durations'!$C$10:$C$34, "Direct",'Task Durations'!CL10:CL34))</f>
        <v>67.398499999999999</v>
      </c>
      <c r="CL3" s="97">
        <f>IF(SUMIF('Task Durations'!$C$10:$C$34, "Direct",'Task Durations'!CM10:CM34)&lt;&gt;0,SUMIF('Task Durations'!$C$10:$C$34, "Direct",'Task Durations'!CM10:CM34))</f>
        <v>33.482999999999997</v>
      </c>
      <c r="DR3" s="376"/>
    </row>
    <row r="4" spans="1:122" x14ac:dyDescent="0.25">
      <c r="A4" s="345"/>
      <c r="B4" t="s">
        <v>103</v>
      </c>
      <c r="C4" s="97">
        <f>IF(SUMIF('Task Durations'!$C$10:$C$34, "Indirect",'Task Durations'!D10:D34)&lt;&gt;0,SUMIF('Task Durations'!$C$10:$C$34, "Indirect",'Task Durations'!D10:D34))</f>
        <v>21.25</v>
      </c>
      <c r="D4" s="97">
        <f>IF(SUMIF('Task Durations'!$C$10:$C$34, "Indirect",'Task Durations'!E10:E34)&lt;&gt;0,SUMIF('Task Durations'!$C$10:$C$34, "Indirect",'Task Durations'!E10:E34))</f>
        <v>17.266999999999996</v>
      </c>
      <c r="E4" s="97">
        <f>IF(SUMIF('Task Durations'!$C$10:$C$34, "Indirect",'Task Durations'!F10:F34)&lt;&gt;0,SUMIF('Task Durations'!$C$10:$C$34, "Indirect",'Task Durations'!F10:F34))</f>
        <v>37.800000000000004</v>
      </c>
      <c r="F4" s="97">
        <f>IF(SUMIF('Task Durations'!$C$10:$C$34, "Indirect",'Task Durations'!G10:G34)&lt;&gt;0,SUMIF('Task Durations'!$C$10:$C$34, "Indirect",'Task Durations'!G10:G34))</f>
        <v>22.699999999999996</v>
      </c>
      <c r="G4" s="97">
        <f>IF(SUMIF('Task Durations'!$C$10:$C$34, "Indirect",'Task Durations'!H10:H34)&lt;&gt;0,SUMIF('Task Durations'!$C$10:$C$34, "Indirect",'Task Durations'!H10:H34))</f>
        <v>17.683</v>
      </c>
      <c r="H4" s="97">
        <f>IF(SUMIF('Task Durations'!$C$10:$C$34, "Indirect",'Task Durations'!I10:I34)&lt;&gt;0,SUMIF('Task Durations'!$C$10:$C$34, "Indirect",'Task Durations'!I10:I34))</f>
        <v>21.816666666666666</v>
      </c>
      <c r="I4" s="97">
        <f>IF(SUMIF('Task Durations'!$C$10:$C$34, "Indirect",'Task Durations'!J10:J34)&lt;&gt;0,SUMIF('Task Durations'!$C$10:$C$34, "Indirect",'Task Durations'!J10:J34))</f>
        <v>17.95</v>
      </c>
      <c r="J4" s="97">
        <f>IF(SUMIF('Task Durations'!$C$10:$C$34, "Indirect",'Task Durations'!K10:K34)&lt;&gt;0,SUMIF('Task Durations'!$C$10:$C$34, "Indirect",'Task Durations'!K10:K34))</f>
        <v>29.099999999999998</v>
      </c>
      <c r="K4" s="97">
        <f>IF(SUMIF('Task Durations'!$C$10:$C$34, "Indirect",'Task Durations'!L10:L34)&lt;&gt;0,SUMIF('Task Durations'!$C$10:$C$34, "Indirect",'Task Durations'!L10:L34))</f>
        <v>18.364799999999999</v>
      </c>
      <c r="L4" s="97">
        <f>IF(SUMIF('Task Durations'!$C$10:$C$34, "Indirect",'Task Durations'!M10:M34)&lt;&gt;0,SUMIF('Task Durations'!$C$10:$C$34, "Indirect",'Task Durations'!M10:M34))</f>
        <v>38.783000000000001</v>
      </c>
      <c r="M4" s="97">
        <f>IF(SUMIF('Task Durations'!$C$10:$C$34, "Indirect",'Task Durations'!N10:N34)&lt;&gt;0,SUMIF('Task Durations'!$C$10:$C$34, "Indirect",'Task Durations'!N10:N34))</f>
        <v>27.867000000000001</v>
      </c>
      <c r="N4" s="97">
        <f>IF(SUMIF('Task Durations'!$C$10:$C$34, "Indirect",'Task Durations'!O10:O34)&lt;&gt;0,SUMIF('Task Durations'!$C$10:$C$34, "Indirect",'Task Durations'!O10:O34))</f>
        <v>27.299999999999997</v>
      </c>
      <c r="O4" s="97">
        <f>IF(SUMIF('Task Durations'!$C$10:$C$34, "Indirect",'Task Durations'!P10:P34)&lt;&gt;0,SUMIF('Task Durations'!$C$10:$C$34, "Indirect",'Task Durations'!P10:P34))</f>
        <v>12.533999999999999</v>
      </c>
      <c r="P4" s="97">
        <f>IF(SUMIF('Task Durations'!$C$10:$C$34, "Indirect",'Task Durations'!Q10:Q34)&lt;&gt;0,SUMIF('Task Durations'!$C$10:$C$34, "Indirect",'Task Durations'!Q10:Q34))</f>
        <v>28.850999999999999</v>
      </c>
      <c r="Q4" s="97">
        <f>IF(SUMIF('Task Durations'!$C$10:$C$34, "Indirect",'Task Durations'!R10:R34)&lt;&gt;0,SUMIF('Task Durations'!$C$10:$C$34, "Indirect",'Task Durations'!R10:R34))</f>
        <v>19.249299999999998</v>
      </c>
      <c r="R4" s="97">
        <f>IF(SUMIF('Task Durations'!$C$10:$C$34, "Indirect",'Task Durations'!S10:S34)&lt;&gt;0,SUMIF('Task Durations'!$C$10:$C$34, "Indirect",'Task Durations'!S10:S34))</f>
        <v>14.064499999999999</v>
      </c>
      <c r="S4" s="97">
        <f>IF(SUMIF('Task Durations'!$C$10:$C$34, "Indirect",'Task Durations'!T10:T34)&lt;&gt;0,SUMIF('Task Durations'!$C$10:$C$34, "Indirect",'Task Durations'!T10:T34))</f>
        <v>26.050999999999998</v>
      </c>
      <c r="T4" s="97">
        <f>IF(SUMIF('Task Durations'!$C$10:$C$34, "Indirect",'Task Durations'!U10:U34)&lt;&gt;0,SUMIF('Task Durations'!$C$10:$C$34, "Indirect",'Task Durations'!U10:U34))</f>
        <v>27.166999999999998</v>
      </c>
      <c r="U4" s="97">
        <f>IF(SUMIF('Task Durations'!$C$10:$C$34, "Indirect",'Task Durations'!V10:V34)&lt;&gt;0,SUMIF('Task Durations'!$C$10:$C$34, "Indirect",'Task Durations'!V10:V34))</f>
        <v>35.849999999999994</v>
      </c>
      <c r="V4" s="97">
        <f>IF(SUMIF('Task Durations'!$C$10:$C$34, "Indirect",'Task Durations'!W10:W34)&lt;&gt;0,SUMIF('Task Durations'!$C$10:$C$34, "Indirect",'Task Durations'!W10:W34))</f>
        <v>14.600000000000001</v>
      </c>
      <c r="W4" s="97">
        <f>IF(SUMIF('Task Durations'!$C$10:$C$34, "Indirect",'Task Durations'!X10:X34)&lt;&gt;0,SUMIF('Task Durations'!$C$10:$C$34, "Indirect",'Task Durations'!X10:X34))</f>
        <v>21.95</v>
      </c>
      <c r="X4" s="97">
        <f>IF(SUMIF('Task Durations'!$C$10:$C$34, "Indirect",'Task Durations'!Y10:Y34)&lt;&gt;0,SUMIF('Task Durations'!$C$10:$C$34, "Indirect",'Task Durations'!Y10:Y34))</f>
        <v>18.533000000000001</v>
      </c>
      <c r="Y4" s="97">
        <f>IF(SUMIF('Task Durations'!$C$10:$C$34, "Indirect",'Task Durations'!Z10:Z34)&lt;&gt;0,SUMIF('Task Durations'!$C$10:$C$34, "Indirect",'Task Durations'!Z10:Z34))</f>
        <v>16.400000000000002</v>
      </c>
      <c r="Z4" s="97">
        <f>IF(SUMIF('Task Durations'!$C$10:$C$34, "Indirect",'Task Durations'!AA10:AA34)&lt;&gt;0,SUMIF('Task Durations'!$C$10:$C$34, "Indirect",'Task Durations'!AA10:AA34))</f>
        <v>31.1</v>
      </c>
      <c r="AA4" s="97">
        <f>IF(SUMIF('Task Durations'!$C$10:$C$34, "Indirect",'Task Durations'!AB10:AB34)&lt;&gt;0,SUMIF('Task Durations'!$C$10:$C$34, "Indirect",'Task Durations'!AB10:AB34))</f>
        <v>16.967300000000002</v>
      </c>
      <c r="AB4" s="97">
        <f>IF(SUMIF('Task Durations'!$C$10:$C$34, "Indirect",'Task Durations'!AC10:AC34)&lt;&gt;0,SUMIF('Task Durations'!$C$10:$C$34, "Indirect",'Task Durations'!AC10:AC34))</f>
        <v>13.353499999999999</v>
      </c>
      <c r="AC4" s="97">
        <f>IF(SUMIF('Task Durations'!$C$10:$C$34, "Indirect",'Task Durations'!AD10:AD34)&lt;&gt;0,SUMIF('Task Durations'!$C$10:$C$34, "Indirect",'Task Durations'!AD10:AD34))</f>
        <v>13.178000000000001</v>
      </c>
      <c r="AD4" s="97">
        <f>IF(SUMIF('Task Durations'!$C$10:$C$34, "Indirect",'Task Durations'!AE10:AE34)&lt;&gt;0,SUMIF('Task Durations'!$C$10:$C$34, "Indirect",'Task Durations'!AE10:AE34))</f>
        <v>20.265999999999998</v>
      </c>
      <c r="AE4" s="97">
        <f>IF(SUMIF('Task Durations'!$C$10:$C$34, "Indirect",'Task Durations'!AF10:AF34)&lt;&gt;0,SUMIF('Task Durations'!$C$10:$C$34, "Indirect",'Task Durations'!AF10:AF34))</f>
        <v>16.150300000000001</v>
      </c>
      <c r="AF4" s="97">
        <f>IF(SUMIF('Task Durations'!$C$10:$C$34, "Indirect",'Task Durations'!AG10:AG34)&lt;&gt;0,SUMIF('Task Durations'!$C$10:$C$34, "Indirect",'Task Durations'!AG10:AG34))</f>
        <v>28.183299999999999</v>
      </c>
      <c r="AG4" s="97">
        <f>IF(SUMIF('Task Durations'!$C$10:$C$34, "Indirect",'Task Durations'!AH10:AH34)&lt;&gt;0,SUMIF('Task Durations'!$C$10:$C$34, "Indirect",'Task Durations'!AH10:AH34))</f>
        <v>20.2163</v>
      </c>
      <c r="AH4" s="97">
        <f>IF(SUMIF('Task Durations'!$C$10:$C$34, "Indirect",'Task Durations'!AI10:AI34)&lt;&gt;0,SUMIF('Task Durations'!$C$10:$C$34, "Indirect",'Task Durations'!AI10:AI34))</f>
        <v>21.300000000000004</v>
      </c>
      <c r="AI4" s="97">
        <f>IF(SUMIF('Task Durations'!$C$10:$C$34, "Indirect",'Task Durations'!AJ10:AJ34)&lt;&gt;0,SUMIF('Task Durations'!$C$10:$C$34, "Indirect",'Task Durations'!AJ10:AJ34))</f>
        <v>23.132999999999999</v>
      </c>
      <c r="AJ4" s="97">
        <f>IF(SUMIF('Task Durations'!$C$10:$C$34, "Indirect",'Task Durations'!AK10:AK34)&lt;&gt;0,SUMIF('Task Durations'!$C$10:$C$34, "Indirect",'Task Durations'!AK10:AK34))</f>
        <v>29.082999999999998</v>
      </c>
      <c r="AK4" s="97">
        <f>IF(SUMIF('Task Durations'!$C$10:$C$34, "Indirect",'Task Durations'!AL10:AL34)&lt;&gt;0,SUMIF('Task Durations'!$C$10:$C$34, "Indirect",'Task Durations'!AL10:AL34))</f>
        <v>27.716999999999999</v>
      </c>
      <c r="AL4" s="97">
        <f>IF(SUMIF('Task Durations'!$C$10:$C$34, "Indirect",'Task Durations'!AM10:AM34)&lt;&gt;0,SUMIF('Task Durations'!$C$10:$C$34, "Indirect",'Task Durations'!AM10:AM34))</f>
        <v>12.149999999999999</v>
      </c>
      <c r="AM4" s="97">
        <f>IF(SUMIF('Task Durations'!$C$10:$C$34, "Indirect",'Task Durations'!AN10:AN34)&lt;&gt;0,SUMIF('Task Durations'!$C$10:$C$34, "Indirect",'Task Durations'!AN10:AN34))</f>
        <v>31.971999999999998</v>
      </c>
      <c r="AN4" s="97">
        <f>IF(SUMIF('Task Durations'!$C$10:$C$34, "Indirect",'Task Durations'!AO10:AO34)&lt;&gt;0,SUMIF('Task Durations'!$C$10:$C$34, "Indirect",'Task Durations'!AO10:AO34))</f>
        <v>30.716300000000004</v>
      </c>
      <c r="AO4" s="97">
        <f>IF(SUMIF('Task Durations'!$C$10:$C$34, "Indirect",'Task Durations'!AP10:AP34)&lt;&gt;0,SUMIF('Task Durations'!$C$10:$C$34, "Indirect",'Task Durations'!AP10:AP34))</f>
        <v>27.817</v>
      </c>
      <c r="AP4" s="97">
        <f>IF(SUMIF('Task Durations'!$C$10:$C$34, "Indirect",'Task Durations'!AQ10:AQ34)&lt;&gt;0,SUMIF('Task Durations'!$C$10:$C$34, "Indirect",'Task Durations'!AQ10:AQ34))</f>
        <v>24.167000000000002</v>
      </c>
      <c r="AQ4" s="97">
        <f>IF(SUMIF('Task Durations'!$C$10:$C$34, "Indirect",'Task Durations'!AR10:AR34)&lt;&gt;0,SUMIF('Task Durations'!$C$10:$C$34, "Indirect",'Task Durations'!AR10:AR34))</f>
        <v>11.967000000000002</v>
      </c>
      <c r="AR4" s="97">
        <f>IF(SUMIF('Task Durations'!$C$10:$C$34, "Indirect",'Task Durations'!AS10:AS34)&lt;&gt;0,SUMIF('Task Durations'!$C$10:$C$34, "Indirect",'Task Durations'!AS10:AS34))</f>
        <v>19.408999999999999</v>
      </c>
      <c r="AS4" s="97">
        <f>IF(SUMIF('Task Durations'!$C$10:$C$34, "Indirect",'Task Durations'!AT10:AT34)&lt;&gt;0,SUMIF('Task Durations'!$C$10:$C$34, "Indirect",'Task Durations'!AT10:AT34))</f>
        <v>16.032999999999998</v>
      </c>
      <c r="AT4" s="97">
        <f>IF(SUMIF('Task Durations'!$C$10:$C$34, "Indirect",'Task Durations'!AU10:AU34)&lt;&gt;0,SUMIF('Task Durations'!$C$10:$C$34, "Indirect",'Task Durations'!AU10:AU34))</f>
        <v>22.683</v>
      </c>
      <c r="AU4" s="97">
        <f>IF(SUMIF('Task Durations'!$C$10:$C$34, "Indirect",'Task Durations'!AV10:AV34)&lt;&gt;0,SUMIF('Task Durations'!$C$10:$C$34, "Indirect",'Task Durations'!AV10:AV34))</f>
        <v>34.224299999999999</v>
      </c>
      <c r="AV4" s="97">
        <f>IF(SUMIF('Task Durations'!$C$10:$C$34, "Indirect",'Task Durations'!AW10:AW34)&lt;&gt;0,SUMIF('Task Durations'!$C$10:$C$34, "Indirect",'Task Durations'!AW10:AW34))</f>
        <v>30.300999999999998</v>
      </c>
      <c r="AW4" s="97">
        <f>IF(SUMIF('Task Durations'!$C$10:$C$34, "Indirect",'Task Durations'!AX10:AX34)&lt;&gt;0,SUMIF('Task Durations'!$C$10:$C$34, "Indirect",'Task Durations'!AX10:AX34))</f>
        <v>18</v>
      </c>
      <c r="AX4" s="97">
        <f>IF(SUMIF('Task Durations'!$C$10:$C$34, "Indirect",'Task Durations'!AY10:AY34)&lt;&gt;0,SUMIF('Task Durations'!$C$10:$C$34, "Indirect",'Task Durations'!AY10:AY34))</f>
        <v>17.233000000000001</v>
      </c>
      <c r="AY4" s="97">
        <f>IF(SUMIF('Task Durations'!$C$10:$C$34, "Indirect",'Task Durations'!AZ10:AZ34)&lt;&gt;0,SUMIF('Task Durations'!$C$10:$C$34, "Indirect",'Task Durations'!AZ10:AZ34))</f>
        <v>15.481999999999999</v>
      </c>
      <c r="AZ4" s="97">
        <f>IF(SUMIF('Task Durations'!$C$10:$C$34, "Indirect",'Task Durations'!BA10:BA34)&lt;&gt;0,SUMIF('Task Durations'!$C$10:$C$34, "Indirect",'Task Durations'!BA10:BA34))</f>
        <v>19.165699999999998</v>
      </c>
      <c r="BA4" s="97">
        <f>IF(SUMIF('Task Durations'!$C$10:$C$34, "Indirect",'Task Durations'!BB10:BB34)&lt;&gt;0,SUMIF('Task Durations'!$C$10:$C$34, "Indirect",'Task Durations'!BB10:BB34))</f>
        <v>26.967000000000006</v>
      </c>
      <c r="BB4" s="97">
        <f>IF(SUMIF('Task Durations'!$C$10:$C$34, "Indirect",'Task Durations'!BC10:BC34)&lt;&gt;0,SUMIF('Task Durations'!$C$10:$C$34, "Indirect",'Task Durations'!BC10:BC34))</f>
        <v>19.5167</v>
      </c>
      <c r="BC4" s="97">
        <f>IF(SUMIF('Task Durations'!$C$10:$C$34, "Indirect",'Task Durations'!BD10:BD34)&lt;&gt;0,SUMIF('Task Durations'!$C$10:$C$34, "Indirect",'Task Durations'!BD10:BD34))</f>
        <v>20.049999999999997</v>
      </c>
      <c r="BD4" s="97">
        <f>IF(SUMIF('Task Durations'!$C$10:$C$34, "Indirect",'Task Durations'!BE10:BE34)&lt;&gt;0,SUMIF('Task Durations'!$C$10:$C$34, "Indirect",'Task Durations'!BE10:BE34))</f>
        <v>26.700299999999999</v>
      </c>
      <c r="BE4" s="97">
        <f>IF(SUMIF('Task Durations'!$C$10:$C$34, "Indirect",'Task Durations'!BF10:BF34)&lt;&gt;0,SUMIF('Task Durations'!$C$10:$C$34, "Indirect",'Task Durations'!BF10:BF34))</f>
        <v>18.183</v>
      </c>
      <c r="BF4" s="97">
        <f>IF(SUMIF('Task Durations'!$C$10:$C$34, "Indirect",'Task Durations'!BG10:BG34)&lt;&gt;0,SUMIF('Task Durations'!$C$10:$C$34, "Indirect",'Task Durations'!BG10:BG34))</f>
        <v>19.497999999999998</v>
      </c>
      <c r="BG4" s="97">
        <f>IF(SUMIF('Task Durations'!$C$10:$C$34, "Indirect",'Task Durations'!BH10:BH34)&lt;&gt;0,SUMIF('Task Durations'!$C$10:$C$34, "Indirect",'Task Durations'!BH10:BH34))</f>
        <v>18.0337</v>
      </c>
      <c r="BH4" s="97">
        <f>IF(SUMIF('Task Durations'!$C$10:$C$34, "Indirect",'Task Durations'!BI10:BI34)&lt;&gt;0,SUMIF('Task Durations'!$C$10:$C$34, "Indirect",'Task Durations'!BI10:BI34))</f>
        <v>16.351300000000002</v>
      </c>
      <c r="BI4" s="97">
        <f>IF(SUMIF('Task Durations'!$C$10:$C$34, "Indirect",'Task Durations'!BJ10:BJ34)&lt;&gt;0,SUMIF('Task Durations'!$C$10:$C$34, "Indirect",'Task Durations'!BJ10:BJ34))</f>
        <v>26.85</v>
      </c>
      <c r="BJ4" s="97">
        <f>IF(SUMIF('Task Durations'!$C$10:$C$34, "Indirect",'Task Durations'!BK10:BK34)&lt;&gt;0,SUMIF('Task Durations'!$C$10:$C$34, "Indirect",'Task Durations'!BK10:BK34))</f>
        <v>12.082999999999998</v>
      </c>
      <c r="BK4" s="97">
        <f>IF(SUMIF('Task Durations'!$C$10:$C$34, "Indirect",'Task Durations'!BL10:BL34)&lt;&gt;0,SUMIF('Task Durations'!$C$10:$C$34, "Indirect",'Task Durations'!BL10:BL34))</f>
        <v>23.386199999999999</v>
      </c>
      <c r="BL4" s="97">
        <f>IF(SUMIF('Task Durations'!$C$10:$C$34, "Indirect",'Task Durations'!BM10:BM34)&lt;&gt;0,SUMIF('Task Durations'!$C$10:$C$34, "Indirect",'Task Durations'!BM10:BM34))</f>
        <v>9.7840000000000007</v>
      </c>
      <c r="BM4" s="97">
        <f>IF(SUMIF('Task Durations'!$C$10:$C$34, "Indirect",'Task Durations'!BN10:BN34)&lt;&gt;0,SUMIF('Task Durations'!$C$10:$C$34, "Indirect",'Task Durations'!BN10:BN34))</f>
        <v>42.033999999999999</v>
      </c>
      <c r="BN4" s="97">
        <f>IF(SUMIF('Task Durations'!$C$10:$C$34, "Indirect",'Task Durations'!BO10:BO34)&lt;&gt;0,SUMIF('Task Durations'!$C$10:$C$34, "Indirect",'Task Durations'!BO10:BO34))</f>
        <v>29.367000000000001</v>
      </c>
      <c r="BO4" s="97">
        <f>IF(SUMIF('Task Durations'!$C$10:$C$34, "Indirect",'Task Durations'!BP10:BP34)&lt;&gt;0,SUMIF('Task Durations'!$C$10:$C$34, "Indirect",'Task Durations'!BP10:BP34))</f>
        <v>33.742000000000004</v>
      </c>
      <c r="BP4" s="97">
        <f>IF(SUMIF('Task Durations'!$C$10:$C$34, "Indirect",'Task Durations'!BQ10:BQ34)&lt;&gt;0,SUMIF('Task Durations'!$C$10:$C$34, "Indirect",'Task Durations'!BQ10:BQ34))</f>
        <v>15.649000000000001</v>
      </c>
      <c r="BQ4" s="97">
        <f>IF(SUMIF('Task Durations'!$C$10:$C$34, "Indirect",'Task Durations'!BR10:BR34)&lt;&gt;0,SUMIF('Task Durations'!$C$10:$C$34, "Indirect",'Task Durations'!BR10:BR34))</f>
        <v>15.3</v>
      </c>
      <c r="BR4" s="97">
        <f>IF(SUMIF('Task Durations'!$C$10:$C$34, "Indirect",'Task Durations'!BS10:BS34)&lt;&gt;0,SUMIF('Task Durations'!$C$10:$C$34, "Indirect",'Task Durations'!BS10:BS34))</f>
        <v>7.3056999999999981</v>
      </c>
      <c r="BS4" s="97">
        <f>IF(SUMIF('Task Durations'!$C$10:$C$34, "Indirect",'Task Durations'!BT10:BT34)&lt;&gt;0,SUMIF('Task Durations'!$C$10:$C$34, "Indirect",'Task Durations'!BT10:BT34))</f>
        <v>12.067</v>
      </c>
      <c r="BT4" s="97">
        <f>IF(SUMIF('Task Durations'!$C$10:$C$34, "Indirect",'Task Durations'!BU10:BU34)&lt;&gt;0,SUMIF('Task Durations'!$C$10:$C$34, "Indirect",'Task Durations'!BU10:BU34))</f>
        <v>18.183</v>
      </c>
      <c r="BU4" s="97">
        <f>IF(SUMIF('Task Durations'!$C$10:$C$34, "Indirect",'Task Durations'!BV10:BV34)&lt;&gt;0,SUMIF('Task Durations'!$C$10:$C$34, "Indirect",'Task Durations'!BV10:BV34))</f>
        <v>24.083300000000008</v>
      </c>
      <c r="BV4" s="97">
        <f>IF(SUMIF('Task Durations'!$C$10:$C$34, "Indirect",'Task Durations'!BW10:BW34)&lt;&gt;0,SUMIF('Task Durations'!$C$10:$C$34, "Indirect",'Task Durations'!BW10:BW34))</f>
        <v>19.883299999999998</v>
      </c>
      <c r="BW4" s="97">
        <f>IF(SUMIF('Task Durations'!$C$10:$C$34, "Indirect",'Task Durations'!BX10:BX34)&lt;&gt;0,SUMIF('Task Durations'!$C$10:$C$34, "Indirect",'Task Durations'!BX10:BX34))</f>
        <v>17.183299999999999</v>
      </c>
      <c r="BX4" s="97">
        <f>IF(SUMIF('Task Durations'!$C$10:$C$34, "Indirect",'Task Durations'!BY10:BY34)&lt;&gt;0,SUMIF('Task Durations'!$C$10:$C$34, "Indirect",'Task Durations'!BY10:BY34))</f>
        <v>15.767000000000001</v>
      </c>
      <c r="BY4" s="97">
        <f>IF(SUMIF('Task Durations'!$C$10:$C$34, "Indirect",'Task Durations'!BZ10:BZ34)&lt;&gt;0,SUMIF('Task Durations'!$C$10:$C$34, "Indirect",'Task Durations'!BZ10:BZ34))</f>
        <v>21.083000000000002</v>
      </c>
      <c r="BZ4" s="97">
        <f>IF(SUMIF('Task Durations'!$C$10:$C$34, "Indirect",'Task Durations'!CA10:CA34)&lt;&gt;0,SUMIF('Task Durations'!$C$10:$C$34, "Indirect",'Task Durations'!CA10:CA34))</f>
        <v>13.616</v>
      </c>
      <c r="CA4" s="97">
        <f>IF(SUMIF('Task Durations'!$C$10:$C$34, "Indirect",'Task Durations'!CB10:CB34)&lt;&gt;0,SUMIF('Task Durations'!$C$10:$C$34, "Indirect",'Task Durations'!CB10:CB34))</f>
        <v>33.683</v>
      </c>
      <c r="CB4" s="97">
        <f>IF(SUMIF('Task Durations'!$C$10:$C$34, "Indirect",'Task Durations'!CC10:CC34)&lt;&gt;0,SUMIF('Task Durations'!$C$10:$C$34, "Indirect",'Task Durations'!CC10:CC34))</f>
        <v>26.1</v>
      </c>
      <c r="CC4" s="97">
        <f>IF(SUMIF('Task Durations'!$C$10:$C$34, "Indirect",'Task Durations'!CD10:CD34)&lt;&gt;0,SUMIF('Task Durations'!$C$10:$C$34, "Indirect",'Task Durations'!CD10:CD34))</f>
        <v>10.867000000000001</v>
      </c>
      <c r="CD4" s="97">
        <f>IF(SUMIF('Task Durations'!$C$10:$C$34, "Indirect",'Task Durations'!CE10:CE34)&lt;&gt;0,SUMIF('Task Durations'!$C$10:$C$34, "Indirect",'Task Durations'!CE10:CE34))</f>
        <v>8.5829999999999984</v>
      </c>
      <c r="CE4" s="97">
        <f>IF(SUMIF('Task Durations'!$C$10:$C$34, "Indirect",'Task Durations'!CF10:CF34)&lt;&gt;0,SUMIF('Task Durations'!$C$10:$C$34, "Indirect",'Task Durations'!CF10:CF34))</f>
        <v>19.566299999999998</v>
      </c>
      <c r="CF4" s="97">
        <f>IF(SUMIF('Task Durations'!$C$10:$C$34, "Indirect",'Task Durations'!CG10:CG34)&lt;&gt;0,SUMIF('Task Durations'!$C$10:$C$34, "Indirect",'Task Durations'!CG10:CG34))</f>
        <v>28.067</v>
      </c>
      <c r="CG4" s="97">
        <f>IF(SUMIF('Task Durations'!$C$10:$C$34, "Indirect",'Task Durations'!CH10:CH34)&lt;&gt;0,SUMIF('Task Durations'!$C$10:$C$34, "Indirect",'Task Durations'!CH10:CH34))</f>
        <v>44.132999999999996</v>
      </c>
      <c r="CH4" s="97">
        <f>IF(SUMIF('Task Durations'!$C$10:$C$34, "Indirect",'Task Durations'!CI10:CI34)&lt;&gt;0,SUMIF('Task Durations'!$C$10:$C$34, "Indirect",'Task Durations'!CI10:CI34))</f>
        <v>22.5</v>
      </c>
      <c r="CI4" s="97">
        <f>IF(SUMIF('Task Durations'!$C$10:$C$34, "Indirect",'Task Durations'!CJ10:CJ34)&lt;&gt;0,SUMIF('Task Durations'!$C$10:$C$34, "Indirect",'Task Durations'!CJ10:CJ34))</f>
        <v>21.25</v>
      </c>
      <c r="CJ4" s="97">
        <f>IF(SUMIF('Task Durations'!$C$10:$C$34, "Indirect",'Task Durations'!CK10:CK34)&lt;&gt;0,SUMIF('Task Durations'!$C$10:$C$34, "Indirect",'Task Durations'!CK10:CK34))</f>
        <v>23.483000000000004</v>
      </c>
      <c r="CK4" s="97">
        <f>IF(SUMIF('Task Durations'!$C$10:$C$34, "Indirect",'Task Durations'!CL10:CL34)&lt;&gt;0,SUMIF('Task Durations'!$C$10:$C$34, "Indirect",'Task Durations'!CL10:CL34))</f>
        <v>14.968999999999998</v>
      </c>
      <c r="CL4" s="97">
        <f>IF(SUMIF('Task Durations'!$C$10:$C$34, "Indirect",'Task Durations'!CM10:CM34)&lt;&gt;0,SUMIF('Task Durations'!$C$10:$C$34, "Indirect",'Task Durations'!CM10:CM34))</f>
        <v>23.798999999999999</v>
      </c>
      <c r="DR4" s="376"/>
    </row>
    <row r="5" spans="1:122" x14ac:dyDescent="0.25">
      <c r="A5" s="345"/>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97"/>
      <c r="AM5" s="97"/>
      <c r="AN5" s="97"/>
      <c r="AO5" s="97"/>
      <c r="AP5" s="97"/>
      <c r="AQ5" s="97"/>
      <c r="AR5" s="97"/>
      <c r="AS5" s="97"/>
      <c r="AT5" s="97"/>
      <c r="AU5" s="97"/>
      <c r="AV5" s="97"/>
      <c r="AW5" s="97"/>
      <c r="AX5" s="97"/>
      <c r="AY5" s="97"/>
      <c r="AZ5" s="97"/>
      <c r="BA5" s="97"/>
      <c r="BB5" s="97"/>
      <c r="BC5" s="97"/>
      <c r="BD5" s="97"/>
      <c r="BE5" s="97"/>
      <c r="BF5" s="97"/>
      <c r="BG5" s="97"/>
      <c r="BH5" s="97"/>
      <c r="BI5" s="97"/>
      <c r="BJ5" s="97"/>
      <c r="BK5" s="97"/>
      <c r="BL5" s="97"/>
      <c r="BM5" s="97"/>
      <c r="BN5" s="97"/>
      <c r="BO5" s="97"/>
      <c r="BP5" s="97"/>
      <c r="BQ5" s="97"/>
      <c r="BR5" s="97"/>
      <c r="BS5" s="97"/>
      <c r="BT5" s="97"/>
      <c r="BU5" s="97"/>
      <c r="BV5" s="97"/>
      <c r="BW5" s="97"/>
      <c r="BX5" s="97"/>
      <c r="BY5" s="97"/>
      <c r="BZ5" s="97"/>
      <c r="CA5" s="97"/>
      <c r="CB5" s="97"/>
      <c r="CC5" s="97"/>
      <c r="CD5" s="97"/>
      <c r="CE5" s="97"/>
      <c r="CF5" s="97"/>
      <c r="CG5" s="97"/>
      <c r="CH5" s="97"/>
      <c r="CI5" s="97"/>
      <c r="CJ5" s="97"/>
      <c r="CK5" s="97"/>
      <c r="CL5" s="97"/>
      <c r="DR5" s="376"/>
    </row>
    <row r="6" spans="1:122" x14ac:dyDescent="0.25">
      <c r="A6" s="345"/>
      <c r="B6" t="s">
        <v>243</v>
      </c>
      <c r="C6" s="97">
        <f>IF(C$2="N60",0,C$3)</f>
        <v>0</v>
      </c>
      <c r="D6" s="97">
        <f t="shared" ref="D6:BO6" si="1">IF(D$2="N60",0,D$3)</f>
        <v>0</v>
      </c>
      <c r="E6" s="97">
        <f t="shared" si="1"/>
        <v>0</v>
      </c>
      <c r="F6" s="97">
        <f t="shared" si="1"/>
        <v>0</v>
      </c>
      <c r="G6" s="97">
        <f t="shared" si="1"/>
        <v>0</v>
      </c>
      <c r="H6" s="97">
        <f t="shared" si="1"/>
        <v>0</v>
      </c>
      <c r="I6" s="97">
        <f t="shared" si="1"/>
        <v>0</v>
      </c>
      <c r="J6" s="97">
        <f t="shared" si="1"/>
        <v>0</v>
      </c>
      <c r="K6" s="97">
        <f t="shared" si="1"/>
        <v>0</v>
      </c>
      <c r="L6" s="97">
        <f t="shared" si="1"/>
        <v>0</v>
      </c>
      <c r="M6" s="97">
        <f t="shared" si="1"/>
        <v>0</v>
      </c>
      <c r="N6" s="97">
        <f t="shared" si="1"/>
        <v>24.417000000000002</v>
      </c>
      <c r="O6" s="97">
        <f t="shared" si="1"/>
        <v>0</v>
      </c>
      <c r="P6" s="97">
        <f t="shared" si="1"/>
        <v>0</v>
      </c>
      <c r="Q6" s="97">
        <f t="shared" si="1"/>
        <v>0</v>
      </c>
      <c r="R6" s="97">
        <f t="shared" si="1"/>
        <v>0</v>
      </c>
      <c r="S6" s="97">
        <f t="shared" si="1"/>
        <v>35.667000000000002</v>
      </c>
      <c r="T6" s="97">
        <f t="shared" si="1"/>
        <v>0</v>
      </c>
      <c r="U6" s="97">
        <f t="shared" si="1"/>
        <v>0</v>
      </c>
      <c r="V6" s="97">
        <f t="shared" si="1"/>
        <v>0</v>
      </c>
      <c r="W6" s="97">
        <f t="shared" si="1"/>
        <v>0</v>
      </c>
      <c r="X6" s="97">
        <f t="shared" si="1"/>
        <v>0</v>
      </c>
      <c r="Y6" s="97">
        <f t="shared" si="1"/>
        <v>0</v>
      </c>
      <c r="Z6" s="97">
        <f t="shared" si="1"/>
        <v>15.433</v>
      </c>
      <c r="AA6" s="97">
        <f t="shared" si="1"/>
        <v>0</v>
      </c>
      <c r="AB6" s="97">
        <f t="shared" si="1"/>
        <v>0</v>
      </c>
      <c r="AC6" s="97">
        <f t="shared" si="1"/>
        <v>0</v>
      </c>
      <c r="AD6" s="97">
        <f t="shared" si="1"/>
        <v>0</v>
      </c>
      <c r="AE6" s="97">
        <f t="shared" si="1"/>
        <v>0</v>
      </c>
      <c r="AF6" s="97">
        <f t="shared" si="1"/>
        <v>0</v>
      </c>
      <c r="AG6" s="97">
        <f t="shared" si="1"/>
        <v>29.700000000000003</v>
      </c>
      <c r="AH6" s="97">
        <f t="shared" si="1"/>
        <v>0</v>
      </c>
      <c r="AI6" s="97">
        <f t="shared" si="1"/>
        <v>0</v>
      </c>
      <c r="AJ6" s="97">
        <f t="shared" si="1"/>
        <v>0</v>
      </c>
      <c r="AK6" s="97">
        <f t="shared" si="1"/>
        <v>0</v>
      </c>
      <c r="AL6" s="97">
        <f t="shared" si="1"/>
        <v>0</v>
      </c>
      <c r="AM6" s="97">
        <f t="shared" si="1"/>
        <v>0</v>
      </c>
      <c r="AN6" s="97">
        <f t="shared" si="1"/>
        <v>0</v>
      </c>
      <c r="AO6" s="97">
        <f t="shared" si="1"/>
        <v>0</v>
      </c>
      <c r="AP6" s="97">
        <f t="shared" si="1"/>
        <v>0</v>
      </c>
      <c r="AQ6" s="97">
        <f t="shared" si="1"/>
        <v>0</v>
      </c>
      <c r="AR6" s="97">
        <f t="shared" si="1"/>
        <v>0</v>
      </c>
      <c r="AS6" s="97">
        <f t="shared" si="1"/>
        <v>0</v>
      </c>
      <c r="AT6" s="97">
        <f t="shared" si="1"/>
        <v>0</v>
      </c>
      <c r="AU6" s="97">
        <f t="shared" si="1"/>
        <v>0</v>
      </c>
      <c r="AV6" s="97">
        <f t="shared" si="1"/>
        <v>0</v>
      </c>
      <c r="AW6" s="97">
        <f t="shared" si="1"/>
        <v>0</v>
      </c>
      <c r="AX6" s="97">
        <f t="shared" si="1"/>
        <v>0</v>
      </c>
      <c r="AY6" s="97">
        <f t="shared" si="1"/>
        <v>0</v>
      </c>
      <c r="AZ6" s="97">
        <f t="shared" si="1"/>
        <v>0</v>
      </c>
      <c r="BA6" s="97">
        <f t="shared" si="1"/>
        <v>0</v>
      </c>
      <c r="BB6" s="97">
        <f t="shared" si="1"/>
        <v>0</v>
      </c>
      <c r="BC6" s="97">
        <f t="shared" si="1"/>
        <v>0</v>
      </c>
      <c r="BD6" s="97">
        <f t="shared" si="1"/>
        <v>0</v>
      </c>
      <c r="BE6" s="97">
        <f t="shared" si="1"/>
        <v>0</v>
      </c>
      <c r="BF6" s="97">
        <f t="shared" si="1"/>
        <v>0</v>
      </c>
      <c r="BG6" s="97">
        <f t="shared" si="1"/>
        <v>0</v>
      </c>
      <c r="BH6" s="97">
        <f t="shared" si="1"/>
        <v>0</v>
      </c>
      <c r="BI6" s="97">
        <f t="shared" si="1"/>
        <v>0</v>
      </c>
      <c r="BJ6" s="97">
        <f t="shared" si="1"/>
        <v>13.1</v>
      </c>
      <c r="BK6" s="97">
        <f t="shared" si="1"/>
        <v>0</v>
      </c>
      <c r="BL6" s="97">
        <f t="shared" si="1"/>
        <v>0</v>
      </c>
      <c r="BM6" s="97">
        <f t="shared" si="1"/>
        <v>0</v>
      </c>
      <c r="BN6" s="97">
        <f t="shared" si="1"/>
        <v>0</v>
      </c>
      <c r="BO6" s="97">
        <f t="shared" si="1"/>
        <v>0</v>
      </c>
      <c r="BP6" s="97">
        <f t="shared" ref="BP6:CL6" si="2">IF(BP$2="N60",0,BP$3)</f>
        <v>0</v>
      </c>
      <c r="BQ6" s="97">
        <f t="shared" si="2"/>
        <v>0</v>
      </c>
      <c r="BR6" s="97">
        <f t="shared" si="2"/>
        <v>0</v>
      </c>
      <c r="BS6" s="97">
        <f t="shared" si="2"/>
        <v>0</v>
      </c>
      <c r="BT6" s="97">
        <f t="shared" si="2"/>
        <v>0</v>
      </c>
      <c r="BU6" s="97">
        <f t="shared" si="2"/>
        <v>0</v>
      </c>
      <c r="BV6" s="97">
        <f t="shared" si="2"/>
        <v>0</v>
      </c>
      <c r="BW6" s="97">
        <f t="shared" si="2"/>
        <v>15.716700000000001</v>
      </c>
      <c r="BX6" s="97">
        <f t="shared" si="2"/>
        <v>8.3333000000000013</v>
      </c>
      <c r="BY6" s="97">
        <f t="shared" si="2"/>
        <v>0</v>
      </c>
      <c r="BZ6" s="97">
        <f t="shared" si="2"/>
        <v>6.2006999999999994</v>
      </c>
      <c r="CA6" s="97">
        <f t="shared" si="2"/>
        <v>0</v>
      </c>
      <c r="CB6" s="97">
        <f t="shared" si="2"/>
        <v>0</v>
      </c>
      <c r="CC6" s="97">
        <f t="shared" si="2"/>
        <v>0</v>
      </c>
      <c r="CD6" s="97">
        <f t="shared" si="2"/>
        <v>0</v>
      </c>
      <c r="CE6" s="97">
        <f t="shared" si="2"/>
        <v>18.533000000000001</v>
      </c>
      <c r="CF6" s="97">
        <f t="shared" si="2"/>
        <v>0</v>
      </c>
      <c r="CG6" s="97">
        <f t="shared" si="2"/>
        <v>0</v>
      </c>
      <c r="CH6" s="97">
        <f t="shared" si="2"/>
        <v>0</v>
      </c>
      <c r="CI6" s="97">
        <f t="shared" si="2"/>
        <v>0</v>
      </c>
      <c r="CJ6" s="97">
        <f t="shared" si="2"/>
        <v>0</v>
      </c>
      <c r="CK6" s="97">
        <f t="shared" si="2"/>
        <v>0</v>
      </c>
      <c r="CL6" s="97">
        <f t="shared" si="2"/>
        <v>0</v>
      </c>
      <c r="DR6" s="376"/>
    </row>
    <row r="7" spans="1:122" x14ac:dyDescent="0.25">
      <c r="A7" s="345"/>
      <c r="B7" t="s">
        <v>245</v>
      </c>
      <c r="C7" s="97">
        <f>IF(C$2="N60",0,C$4)</f>
        <v>0</v>
      </c>
      <c r="D7" s="97">
        <f t="shared" ref="D7:BO7" si="3">IF(D$2="N60",0,D$4)</f>
        <v>0</v>
      </c>
      <c r="E7" s="97">
        <f t="shared" si="3"/>
        <v>0</v>
      </c>
      <c r="F7" s="97">
        <f t="shared" si="3"/>
        <v>0</v>
      </c>
      <c r="G7" s="97">
        <f t="shared" si="3"/>
        <v>0</v>
      </c>
      <c r="H7" s="97">
        <f t="shared" si="3"/>
        <v>0</v>
      </c>
      <c r="I7" s="97">
        <f t="shared" si="3"/>
        <v>0</v>
      </c>
      <c r="J7" s="97">
        <f t="shared" si="3"/>
        <v>0</v>
      </c>
      <c r="K7" s="97">
        <f t="shared" si="3"/>
        <v>0</v>
      </c>
      <c r="L7" s="97">
        <f t="shared" si="3"/>
        <v>0</v>
      </c>
      <c r="M7" s="97">
        <f t="shared" si="3"/>
        <v>0</v>
      </c>
      <c r="N7" s="97">
        <f t="shared" si="3"/>
        <v>27.299999999999997</v>
      </c>
      <c r="O7" s="97">
        <f t="shared" si="3"/>
        <v>0</v>
      </c>
      <c r="P7" s="97">
        <f t="shared" si="3"/>
        <v>0</v>
      </c>
      <c r="Q7" s="97">
        <f t="shared" si="3"/>
        <v>0</v>
      </c>
      <c r="R7" s="97">
        <f t="shared" si="3"/>
        <v>0</v>
      </c>
      <c r="S7" s="97">
        <f t="shared" si="3"/>
        <v>26.050999999999998</v>
      </c>
      <c r="T7" s="97">
        <f t="shared" si="3"/>
        <v>0</v>
      </c>
      <c r="U7" s="97">
        <f t="shared" si="3"/>
        <v>0</v>
      </c>
      <c r="V7" s="97">
        <f t="shared" si="3"/>
        <v>0</v>
      </c>
      <c r="W7" s="97">
        <f t="shared" si="3"/>
        <v>0</v>
      </c>
      <c r="X7" s="97">
        <f t="shared" si="3"/>
        <v>0</v>
      </c>
      <c r="Y7" s="97">
        <f t="shared" si="3"/>
        <v>0</v>
      </c>
      <c r="Z7" s="97">
        <f t="shared" si="3"/>
        <v>31.1</v>
      </c>
      <c r="AA7" s="97">
        <f t="shared" si="3"/>
        <v>0</v>
      </c>
      <c r="AB7" s="97">
        <f t="shared" si="3"/>
        <v>0</v>
      </c>
      <c r="AC7" s="97">
        <f t="shared" si="3"/>
        <v>0</v>
      </c>
      <c r="AD7" s="97">
        <f t="shared" si="3"/>
        <v>0</v>
      </c>
      <c r="AE7" s="97">
        <f t="shared" si="3"/>
        <v>0</v>
      </c>
      <c r="AF7" s="97">
        <f t="shared" si="3"/>
        <v>0</v>
      </c>
      <c r="AG7" s="97">
        <f t="shared" si="3"/>
        <v>20.2163</v>
      </c>
      <c r="AH7" s="97">
        <f t="shared" si="3"/>
        <v>0</v>
      </c>
      <c r="AI7" s="97">
        <f t="shared" si="3"/>
        <v>0</v>
      </c>
      <c r="AJ7" s="97">
        <f t="shared" si="3"/>
        <v>0</v>
      </c>
      <c r="AK7" s="97">
        <f t="shared" si="3"/>
        <v>0</v>
      </c>
      <c r="AL7" s="97">
        <f t="shared" si="3"/>
        <v>0</v>
      </c>
      <c r="AM7" s="97">
        <f t="shared" si="3"/>
        <v>0</v>
      </c>
      <c r="AN7" s="97">
        <f t="shared" si="3"/>
        <v>0</v>
      </c>
      <c r="AO7" s="97">
        <f t="shared" si="3"/>
        <v>0</v>
      </c>
      <c r="AP7" s="97">
        <f t="shared" si="3"/>
        <v>0</v>
      </c>
      <c r="AQ7" s="97">
        <f t="shared" si="3"/>
        <v>0</v>
      </c>
      <c r="AR7" s="97">
        <f t="shared" si="3"/>
        <v>0</v>
      </c>
      <c r="AS7" s="97">
        <f t="shared" si="3"/>
        <v>0</v>
      </c>
      <c r="AT7" s="97">
        <f t="shared" si="3"/>
        <v>0</v>
      </c>
      <c r="AU7" s="97">
        <f t="shared" si="3"/>
        <v>0</v>
      </c>
      <c r="AV7" s="97">
        <f t="shared" si="3"/>
        <v>0</v>
      </c>
      <c r="AW7" s="97">
        <f t="shared" si="3"/>
        <v>0</v>
      </c>
      <c r="AX7" s="97">
        <f t="shared" si="3"/>
        <v>0</v>
      </c>
      <c r="AY7" s="97">
        <f t="shared" si="3"/>
        <v>0</v>
      </c>
      <c r="AZ7" s="97">
        <f t="shared" si="3"/>
        <v>0</v>
      </c>
      <c r="BA7" s="97">
        <f t="shared" si="3"/>
        <v>0</v>
      </c>
      <c r="BB7" s="97">
        <f t="shared" si="3"/>
        <v>0</v>
      </c>
      <c r="BC7" s="97">
        <f t="shared" si="3"/>
        <v>0</v>
      </c>
      <c r="BD7" s="97">
        <f t="shared" si="3"/>
        <v>0</v>
      </c>
      <c r="BE7" s="97">
        <f t="shared" si="3"/>
        <v>0</v>
      </c>
      <c r="BF7" s="97">
        <f t="shared" si="3"/>
        <v>0</v>
      </c>
      <c r="BG7" s="97">
        <f t="shared" si="3"/>
        <v>0</v>
      </c>
      <c r="BH7" s="97">
        <f t="shared" si="3"/>
        <v>0</v>
      </c>
      <c r="BI7" s="97">
        <f t="shared" si="3"/>
        <v>0</v>
      </c>
      <c r="BJ7" s="97">
        <f t="shared" si="3"/>
        <v>12.082999999999998</v>
      </c>
      <c r="BK7" s="97">
        <f t="shared" si="3"/>
        <v>0</v>
      </c>
      <c r="BL7" s="97">
        <f t="shared" si="3"/>
        <v>0</v>
      </c>
      <c r="BM7" s="97">
        <f t="shared" si="3"/>
        <v>0</v>
      </c>
      <c r="BN7" s="97">
        <f t="shared" si="3"/>
        <v>0</v>
      </c>
      <c r="BO7" s="97">
        <f t="shared" si="3"/>
        <v>0</v>
      </c>
      <c r="BP7" s="97">
        <f t="shared" ref="BP7:CL7" si="4">IF(BP$2="N60",0,BP$4)</f>
        <v>0</v>
      </c>
      <c r="BQ7" s="97">
        <f t="shared" si="4"/>
        <v>0</v>
      </c>
      <c r="BR7" s="97">
        <f t="shared" si="4"/>
        <v>0</v>
      </c>
      <c r="BS7" s="97">
        <f t="shared" si="4"/>
        <v>0</v>
      </c>
      <c r="BT7" s="97">
        <f t="shared" si="4"/>
        <v>0</v>
      </c>
      <c r="BU7" s="97">
        <f t="shared" si="4"/>
        <v>0</v>
      </c>
      <c r="BV7" s="97">
        <f t="shared" si="4"/>
        <v>0</v>
      </c>
      <c r="BW7" s="97">
        <f t="shared" si="4"/>
        <v>17.183299999999999</v>
      </c>
      <c r="BX7" s="97">
        <f t="shared" si="4"/>
        <v>15.767000000000001</v>
      </c>
      <c r="BY7" s="97">
        <f t="shared" si="4"/>
        <v>0</v>
      </c>
      <c r="BZ7" s="97">
        <f t="shared" si="4"/>
        <v>13.616</v>
      </c>
      <c r="CA7" s="97">
        <f t="shared" si="4"/>
        <v>0</v>
      </c>
      <c r="CB7" s="97">
        <f t="shared" si="4"/>
        <v>0</v>
      </c>
      <c r="CC7" s="97">
        <f t="shared" si="4"/>
        <v>0</v>
      </c>
      <c r="CD7" s="97">
        <f t="shared" si="4"/>
        <v>0</v>
      </c>
      <c r="CE7" s="97">
        <f t="shared" si="4"/>
        <v>19.566299999999998</v>
      </c>
      <c r="CF7" s="97">
        <f t="shared" si="4"/>
        <v>0</v>
      </c>
      <c r="CG7" s="97">
        <f t="shared" si="4"/>
        <v>0</v>
      </c>
      <c r="CH7" s="97">
        <f t="shared" si="4"/>
        <v>0</v>
      </c>
      <c r="CI7" s="97">
        <f t="shared" si="4"/>
        <v>0</v>
      </c>
      <c r="CJ7" s="97">
        <f t="shared" si="4"/>
        <v>0</v>
      </c>
      <c r="CK7" s="97">
        <f t="shared" si="4"/>
        <v>0</v>
      </c>
      <c r="CL7" s="97">
        <f t="shared" si="4"/>
        <v>0</v>
      </c>
      <c r="DR7" s="376"/>
    </row>
    <row r="8" spans="1:122" x14ac:dyDescent="0.25">
      <c r="A8" s="345"/>
      <c r="B8" t="s">
        <v>244</v>
      </c>
      <c r="C8" s="97">
        <f t="shared" ref="C8:M8" si="5">IF(C$2="N60",C$3,0)</f>
        <v>40.016666666666666</v>
      </c>
      <c r="D8" s="97">
        <f t="shared" si="5"/>
        <v>38.899000000000008</v>
      </c>
      <c r="E8" s="97">
        <f t="shared" si="5"/>
        <v>32.733333333333334</v>
      </c>
      <c r="F8" s="97">
        <f t="shared" si="5"/>
        <v>26.717999999999993</v>
      </c>
      <c r="G8" s="97">
        <f t="shared" si="5"/>
        <v>25.465999999999998</v>
      </c>
      <c r="H8" s="97">
        <f t="shared" si="5"/>
        <v>24.65</v>
      </c>
      <c r="I8" s="97">
        <f t="shared" si="5"/>
        <v>57.766666666666666</v>
      </c>
      <c r="J8" s="97">
        <f t="shared" si="5"/>
        <v>44.332999999999998</v>
      </c>
      <c r="K8" s="97">
        <f t="shared" si="5"/>
        <v>29.419</v>
      </c>
      <c r="L8" s="97">
        <f t="shared" si="5"/>
        <v>41.783000000000001</v>
      </c>
      <c r="M8" s="97">
        <f t="shared" si="5"/>
        <v>36.5837</v>
      </c>
      <c r="N8" s="97">
        <f>IF(N$2="N60",N$3,0)</f>
        <v>0</v>
      </c>
      <c r="O8" s="97">
        <f t="shared" ref="O8:BZ8" si="6">IF(O$2="N60",O$3,0)</f>
        <v>42.265999999999998</v>
      </c>
      <c r="P8" s="97">
        <f t="shared" si="6"/>
        <v>48.048999999999992</v>
      </c>
      <c r="Q8" s="97">
        <f t="shared" si="6"/>
        <v>15.75</v>
      </c>
      <c r="R8" s="97">
        <f t="shared" si="6"/>
        <v>19.420999999999999</v>
      </c>
      <c r="S8" s="97">
        <f t="shared" si="6"/>
        <v>0</v>
      </c>
      <c r="T8" s="97">
        <f t="shared" si="6"/>
        <v>40.149700000000003</v>
      </c>
      <c r="U8" s="97">
        <f t="shared" si="6"/>
        <v>62.499000000000009</v>
      </c>
      <c r="V8" s="97">
        <f t="shared" si="6"/>
        <v>31.766300000000001</v>
      </c>
      <c r="W8" s="97">
        <f t="shared" si="6"/>
        <v>32.850300000000004</v>
      </c>
      <c r="X8" s="97">
        <f t="shared" si="6"/>
        <v>51.498699999999999</v>
      </c>
      <c r="Y8" s="97">
        <f t="shared" si="6"/>
        <v>27.980000000000004</v>
      </c>
      <c r="Z8" s="97">
        <f t="shared" si="6"/>
        <v>0</v>
      </c>
      <c r="AA8" s="97">
        <f t="shared" si="6"/>
        <v>53.549700000000001</v>
      </c>
      <c r="AB8" s="97">
        <f t="shared" si="6"/>
        <v>27.739000000000001</v>
      </c>
      <c r="AC8" s="97">
        <f t="shared" si="6"/>
        <v>23.023300000000003</v>
      </c>
      <c r="AD8" s="97">
        <f t="shared" si="6"/>
        <v>43.187000000000005</v>
      </c>
      <c r="AE8" s="97">
        <f t="shared" si="6"/>
        <v>41.3504</v>
      </c>
      <c r="AF8" s="97">
        <f t="shared" si="6"/>
        <v>28.849000000000004</v>
      </c>
      <c r="AG8" s="97">
        <f t="shared" si="6"/>
        <v>0</v>
      </c>
      <c r="AH8" s="97">
        <f t="shared" si="6"/>
        <v>43.500700000000002</v>
      </c>
      <c r="AI8" s="97">
        <f t="shared" si="6"/>
        <v>41.670999999999999</v>
      </c>
      <c r="AJ8" s="97">
        <f t="shared" si="6"/>
        <v>35.482999999999997</v>
      </c>
      <c r="AK8" s="97">
        <f t="shared" si="6"/>
        <v>52.750999999999998</v>
      </c>
      <c r="AL8" s="97">
        <f t="shared" si="6"/>
        <v>36.750000000000007</v>
      </c>
      <c r="AM8" s="97">
        <f t="shared" si="6"/>
        <v>39.349999999999994</v>
      </c>
      <c r="AN8" s="97">
        <f t="shared" si="6"/>
        <v>40.414999999999999</v>
      </c>
      <c r="AO8" s="97">
        <f t="shared" si="6"/>
        <v>33.766000000000005</v>
      </c>
      <c r="AP8" s="97">
        <f t="shared" si="6"/>
        <v>22.016399999999997</v>
      </c>
      <c r="AQ8" s="97">
        <f t="shared" si="6"/>
        <v>30.051000000000002</v>
      </c>
      <c r="AR8" s="97">
        <f t="shared" si="6"/>
        <v>59.820500000000003</v>
      </c>
      <c r="AS8" s="97">
        <f t="shared" si="6"/>
        <v>38.116999999999997</v>
      </c>
      <c r="AT8" s="97">
        <f t="shared" si="6"/>
        <v>32.9</v>
      </c>
      <c r="AU8" s="97">
        <f t="shared" si="6"/>
        <v>20.515999999999998</v>
      </c>
      <c r="AV8" s="97">
        <f t="shared" si="6"/>
        <v>51.100299999999997</v>
      </c>
      <c r="AW8" s="97">
        <f t="shared" si="6"/>
        <v>61.084000000000003</v>
      </c>
      <c r="AX8" s="97">
        <f t="shared" si="6"/>
        <v>26.166</v>
      </c>
      <c r="AY8" s="97">
        <f t="shared" si="6"/>
        <v>46.199700000000007</v>
      </c>
      <c r="AZ8" s="97">
        <f t="shared" si="6"/>
        <v>57.5336</v>
      </c>
      <c r="BA8" s="97">
        <f t="shared" si="6"/>
        <v>20.882999999999999</v>
      </c>
      <c r="BB8" s="97">
        <f t="shared" si="6"/>
        <v>42.416000000000004</v>
      </c>
      <c r="BC8" s="97">
        <f t="shared" si="6"/>
        <v>41.515999999999998</v>
      </c>
      <c r="BD8" s="97">
        <f t="shared" si="6"/>
        <v>29.432299999999998</v>
      </c>
      <c r="BE8" s="97">
        <f t="shared" si="6"/>
        <v>29.467000000000002</v>
      </c>
      <c r="BF8" s="97">
        <f t="shared" si="6"/>
        <v>34.645199999999996</v>
      </c>
      <c r="BG8" s="97">
        <f t="shared" si="6"/>
        <v>36.266299999999994</v>
      </c>
      <c r="BH8" s="97">
        <f t="shared" si="6"/>
        <v>19.541999999999998</v>
      </c>
      <c r="BI8" s="97">
        <f t="shared" si="6"/>
        <v>25.966999999999999</v>
      </c>
      <c r="BJ8" s="97">
        <f t="shared" si="6"/>
        <v>0</v>
      </c>
      <c r="BK8" s="97">
        <f t="shared" si="6"/>
        <v>37.509300000000003</v>
      </c>
      <c r="BL8" s="97">
        <f t="shared" si="6"/>
        <v>19.549299999999999</v>
      </c>
      <c r="BM8" s="97">
        <f t="shared" si="6"/>
        <v>31.0717</v>
      </c>
      <c r="BN8" s="97">
        <f t="shared" si="6"/>
        <v>28.6493</v>
      </c>
      <c r="BO8" s="97">
        <f t="shared" si="6"/>
        <v>60.104999999999997</v>
      </c>
      <c r="BP8" s="97">
        <f t="shared" si="6"/>
        <v>21.351000000000003</v>
      </c>
      <c r="BQ8" s="97">
        <f t="shared" si="6"/>
        <v>33.483700000000006</v>
      </c>
      <c r="BR8" s="97">
        <f t="shared" si="6"/>
        <v>46.535999999999994</v>
      </c>
      <c r="BS8" s="97">
        <f t="shared" si="6"/>
        <v>46.982999999999997</v>
      </c>
      <c r="BT8" s="97">
        <f t="shared" si="6"/>
        <v>64.816300000000012</v>
      </c>
      <c r="BU8" s="97">
        <f t="shared" si="6"/>
        <v>45.216999999999999</v>
      </c>
      <c r="BV8" s="97">
        <f t="shared" si="6"/>
        <v>46.216999999999992</v>
      </c>
      <c r="BW8" s="97">
        <f t="shared" si="6"/>
        <v>0</v>
      </c>
      <c r="BX8" s="97">
        <f t="shared" si="6"/>
        <v>0</v>
      </c>
      <c r="BY8" s="97">
        <f t="shared" si="6"/>
        <v>32.732700000000001</v>
      </c>
      <c r="BZ8" s="97">
        <f t="shared" si="6"/>
        <v>0</v>
      </c>
      <c r="CA8" s="97">
        <f t="shared" ref="CA8:CL8" si="7">IF(CA$2="N60",CA$3,0)</f>
        <v>48.466999999999999</v>
      </c>
      <c r="CB8" s="97">
        <f t="shared" si="7"/>
        <v>39.884000000000007</v>
      </c>
      <c r="CC8" s="97">
        <f t="shared" si="7"/>
        <v>39.701999999999998</v>
      </c>
      <c r="CD8" s="97">
        <f t="shared" si="7"/>
        <v>8.85</v>
      </c>
      <c r="CE8" s="97">
        <f t="shared" si="7"/>
        <v>0</v>
      </c>
      <c r="CF8" s="97">
        <f t="shared" si="7"/>
        <v>48.633299999999998</v>
      </c>
      <c r="CG8" s="97">
        <f t="shared" si="7"/>
        <v>27.3</v>
      </c>
      <c r="CH8" s="97">
        <f t="shared" si="7"/>
        <v>63</v>
      </c>
      <c r="CI8" s="97">
        <f t="shared" si="7"/>
        <v>30.383000000000003</v>
      </c>
      <c r="CJ8" s="97">
        <f t="shared" si="7"/>
        <v>52.516999999999996</v>
      </c>
      <c r="CK8" s="97">
        <f t="shared" si="7"/>
        <v>67.398499999999999</v>
      </c>
      <c r="CL8" s="97">
        <f t="shared" si="7"/>
        <v>33.482999999999997</v>
      </c>
      <c r="DR8" s="376"/>
    </row>
    <row r="9" spans="1:122" x14ac:dyDescent="0.25">
      <c r="A9" s="345"/>
      <c r="B9" t="s">
        <v>246</v>
      </c>
      <c r="C9" s="97">
        <f t="shared" ref="C9:M9" si="8">IF(C$2="N60",C$4,0)</f>
        <v>21.25</v>
      </c>
      <c r="D9" s="97">
        <f t="shared" si="8"/>
        <v>17.266999999999996</v>
      </c>
      <c r="E9" s="97">
        <f t="shared" si="8"/>
        <v>37.800000000000004</v>
      </c>
      <c r="F9" s="97">
        <f t="shared" si="8"/>
        <v>22.699999999999996</v>
      </c>
      <c r="G9" s="97">
        <f t="shared" si="8"/>
        <v>17.683</v>
      </c>
      <c r="H9" s="97">
        <f t="shared" si="8"/>
        <v>21.816666666666666</v>
      </c>
      <c r="I9" s="97">
        <f t="shared" si="8"/>
        <v>17.95</v>
      </c>
      <c r="J9" s="97">
        <f t="shared" si="8"/>
        <v>29.099999999999998</v>
      </c>
      <c r="K9" s="97">
        <f t="shared" si="8"/>
        <v>18.364799999999999</v>
      </c>
      <c r="L9" s="97">
        <f t="shared" si="8"/>
        <v>38.783000000000001</v>
      </c>
      <c r="M9" s="97">
        <f t="shared" si="8"/>
        <v>27.867000000000001</v>
      </c>
      <c r="N9" s="97">
        <f>IF(N$2="N60",N$4,0)</f>
        <v>0</v>
      </c>
      <c r="O9" s="97">
        <f t="shared" ref="O9:BZ9" si="9">IF(O$2="N60",O$4,0)</f>
        <v>12.533999999999999</v>
      </c>
      <c r="P9" s="97">
        <f t="shared" si="9"/>
        <v>28.850999999999999</v>
      </c>
      <c r="Q9" s="97">
        <f t="shared" si="9"/>
        <v>19.249299999999998</v>
      </c>
      <c r="R9" s="97">
        <f t="shared" si="9"/>
        <v>14.064499999999999</v>
      </c>
      <c r="S9" s="97">
        <f t="shared" si="9"/>
        <v>0</v>
      </c>
      <c r="T9" s="97">
        <f t="shared" si="9"/>
        <v>27.166999999999998</v>
      </c>
      <c r="U9" s="97">
        <f t="shared" si="9"/>
        <v>35.849999999999994</v>
      </c>
      <c r="V9" s="97">
        <f t="shared" si="9"/>
        <v>14.600000000000001</v>
      </c>
      <c r="W9" s="97">
        <f t="shared" si="9"/>
        <v>21.95</v>
      </c>
      <c r="X9" s="97">
        <f t="shared" si="9"/>
        <v>18.533000000000001</v>
      </c>
      <c r="Y9" s="97">
        <f t="shared" si="9"/>
        <v>16.400000000000002</v>
      </c>
      <c r="Z9" s="97">
        <f t="shared" si="9"/>
        <v>0</v>
      </c>
      <c r="AA9" s="97">
        <f t="shared" si="9"/>
        <v>16.967300000000002</v>
      </c>
      <c r="AB9" s="97">
        <f t="shared" si="9"/>
        <v>13.353499999999999</v>
      </c>
      <c r="AC9" s="97">
        <f t="shared" si="9"/>
        <v>13.178000000000001</v>
      </c>
      <c r="AD9" s="97">
        <f t="shared" si="9"/>
        <v>20.265999999999998</v>
      </c>
      <c r="AE9" s="97">
        <f t="shared" si="9"/>
        <v>16.150300000000001</v>
      </c>
      <c r="AF9" s="97">
        <f t="shared" si="9"/>
        <v>28.183299999999999</v>
      </c>
      <c r="AG9" s="97">
        <f t="shared" si="9"/>
        <v>0</v>
      </c>
      <c r="AH9" s="97">
        <f t="shared" si="9"/>
        <v>21.300000000000004</v>
      </c>
      <c r="AI9" s="97">
        <f t="shared" si="9"/>
        <v>23.132999999999999</v>
      </c>
      <c r="AJ9" s="97">
        <f t="shared" si="9"/>
        <v>29.082999999999998</v>
      </c>
      <c r="AK9" s="97">
        <f t="shared" si="9"/>
        <v>27.716999999999999</v>
      </c>
      <c r="AL9" s="97">
        <f t="shared" si="9"/>
        <v>12.149999999999999</v>
      </c>
      <c r="AM9" s="97">
        <f t="shared" si="9"/>
        <v>31.971999999999998</v>
      </c>
      <c r="AN9" s="97">
        <f t="shared" si="9"/>
        <v>30.716300000000004</v>
      </c>
      <c r="AO9" s="97">
        <f t="shared" si="9"/>
        <v>27.817</v>
      </c>
      <c r="AP9" s="97">
        <f t="shared" si="9"/>
        <v>24.167000000000002</v>
      </c>
      <c r="AQ9" s="97">
        <f t="shared" si="9"/>
        <v>11.967000000000002</v>
      </c>
      <c r="AR9" s="97">
        <f t="shared" si="9"/>
        <v>19.408999999999999</v>
      </c>
      <c r="AS9" s="97">
        <f t="shared" si="9"/>
        <v>16.032999999999998</v>
      </c>
      <c r="AT9" s="97">
        <f t="shared" si="9"/>
        <v>22.683</v>
      </c>
      <c r="AU9" s="97">
        <f t="shared" si="9"/>
        <v>34.224299999999999</v>
      </c>
      <c r="AV9" s="97">
        <f t="shared" si="9"/>
        <v>30.300999999999998</v>
      </c>
      <c r="AW9" s="97">
        <f t="shared" si="9"/>
        <v>18</v>
      </c>
      <c r="AX9" s="97">
        <f t="shared" si="9"/>
        <v>17.233000000000001</v>
      </c>
      <c r="AY9" s="97">
        <f t="shared" si="9"/>
        <v>15.481999999999999</v>
      </c>
      <c r="AZ9" s="97">
        <f t="shared" si="9"/>
        <v>19.165699999999998</v>
      </c>
      <c r="BA9" s="97">
        <f t="shared" si="9"/>
        <v>26.967000000000006</v>
      </c>
      <c r="BB9" s="97">
        <f t="shared" si="9"/>
        <v>19.5167</v>
      </c>
      <c r="BC9" s="97">
        <f t="shared" si="9"/>
        <v>20.049999999999997</v>
      </c>
      <c r="BD9" s="97">
        <f t="shared" si="9"/>
        <v>26.700299999999999</v>
      </c>
      <c r="BE9" s="97">
        <f t="shared" si="9"/>
        <v>18.183</v>
      </c>
      <c r="BF9" s="97">
        <f t="shared" si="9"/>
        <v>19.497999999999998</v>
      </c>
      <c r="BG9" s="97">
        <f t="shared" si="9"/>
        <v>18.0337</v>
      </c>
      <c r="BH9" s="97">
        <f t="shared" si="9"/>
        <v>16.351300000000002</v>
      </c>
      <c r="BI9" s="97">
        <f t="shared" si="9"/>
        <v>26.85</v>
      </c>
      <c r="BJ9" s="97">
        <f t="shared" si="9"/>
        <v>0</v>
      </c>
      <c r="BK9" s="97">
        <f t="shared" si="9"/>
        <v>23.386199999999999</v>
      </c>
      <c r="BL9" s="97">
        <f t="shared" si="9"/>
        <v>9.7840000000000007</v>
      </c>
      <c r="BM9" s="97">
        <f t="shared" si="9"/>
        <v>42.033999999999999</v>
      </c>
      <c r="BN9" s="97">
        <f t="shared" si="9"/>
        <v>29.367000000000001</v>
      </c>
      <c r="BO9" s="97">
        <f t="shared" si="9"/>
        <v>33.742000000000004</v>
      </c>
      <c r="BP9" s="97">
        <f t="shared" si="9"/>
        <v>15.649000000000001</v>
      </c>
      <c r="BQ9" s="97">
        <f t="shared" si="9"/>
        <v>15.3</v>
      </c>
      <c r="BR9" s="97">
        <f t="shared" si="9"/>
        <v>7.3056999999999981</v>
      </c>
      <c r="BS9" s="97">
        <f t="shared" si="9"/>
        <v>12.067</v>
      </c>
      <c r="BT9" s="97">
        <f t="shared" si="9"/>
        <v>18.183</v>
      </c>
      <c r="BU9" s="97">
        <f t="shared" si="9"/>
        <v>24.083300000000008</v>
      </c>
      <c r="BV9" s="97">
        <f t="shared" si="9"/>
        <v>19.883299999999998</v>
      </c>
      <c r="BW9" s="97">
        <f t="shared" si="9"/>
        <v>0</v>
      </c>
      <c r="BX9" s="97">
        <f t="shared" si="9"/>
        <v>0</v>
      </c>
      <c r="BY9" s="97">
        <f t="shared" si="9"/>
        <v>21.083000000000002</v>
      </c>
      <c r="BZ9" s="97">
        <f t="shared" si="9"/>
        <v>0</v>
      </c>
      <c r="CA9" s="97">
        <f t="shared" ref="CA9:CL9" si="10">IF(CA$2="N60",CA$4,0)</f>
        <v>33.683</v>
      </c>
      <c r="CB9" s="97">
        <f t="shared" si="10"/>
        <v>26.1</v>
      </c>
      <c r="CC9" s="97">
        <f t="shared" si="10"/>
        <v>10.867000000000001</v>
      </c>
      <c r="CD9" s="97">
        <f t="shared" si="10"/>
        <v>8.5829999999999984</v>
      </c>
      <c r="CE9" s="97">
        <f t="shared" si="10"/>
        <v>0</v>
      </c>
      <c r="CF9" s="97">
        <f t="shared" si="10"/>
        <v>28.067</v>
      </c>
      <c r="CG9" s="97">
        <f t="shared" si="10"/>
        <v>44.132999999999996</v>
      </c>
      <c r="CH9" s="97">
        <f t="shared" si="10"/>
        <v>22.5</v>
      </c>
      <c r="CI9" s="97">
        <f t="shared" si="10"/>
        <v>21.25</v>
      </c>
      <c r="CJ9" s="97">
        <f t="shared" si="10"/>
        <v>23.483000000000004</v>
      </c>
      <c r="CK9" s="97">
        <f t="shared" si="10"/>
        <v>14.968999999999998</v>
      </c>
      <c r="CL9" s="97">
        <f t="shared" si="10"/>
        <v>23.798999999999999</v>
      </c>
      <c r="DR9" s="376"/>
    </row>
    <row r="10" spans="1:122" ht="15.75" thickBot="1" x14ac:dyDescent="0.3">
      <c r="A10" s="345"/>
      <c r="DR10" s="376"/>
    </row>
    <row r="11" spans="1:122" ht="15.75" thickBot="1" x14ac:dyDescent="0.3">
      <c r="A11" s="345"/>
      <c r="B11" s="95"/>
      <c r="C11" s="113"/>
      <c r="D11" s="190" t="s">
        <v>243</v>
      </c>
      <c r="E11" s="190" t="s">
        <v>245</v>
      </c>
      <c r="F11" s="190" t="s">
        <v>336</v>
      </c>
      <c r="G11" s="191" t="s">
        <v>246</v>
      </c>
      <c r="H11" s="95"/>
      <c r="DR11" s="376"/>
    </row>
    <row r="12" spans="1:122" ht="15.75" customHeight="1" thickBot="1" x14ac:dyDescent="0.3">
      <c r="A12" s="345"/>
      <c r="B12" s="97"/>
      <c r="C12" s="52" t="s">
        <v>88</v>
      </c>
      <c r="D12" s="194">
        <f>SUMIF(C6:DQ6,"&gt;0",C6:DQ6)/COUNTIF(C6:DQ6,"&gt;0")</f>
        <v>18.566744444444446</v>
      </c>
      <c r="E12" s="194">
        <f>SUMIF($C7:$DQ7,"&gt;0",$C7:$DQ7)/COUNTIF($C7:$DQ7,"&gt;0")</f>
        <v>20.320322222222224</v>
      </c>
      <c r="F12" s="194">
        <f>SUMIF($C8:$CM8,"&gt;0",$C8:$CM8)/COUNTIF($C8:$CM8,"&gt;0")</f>
        <v>38.119770464135037</v>
      </c>
      <c r="G12" s="195">
        <f>SUMIF($C9:$CM9,"&gt;0",$C9:$CM9)/COUNTIF($C9:$CM9,"&gt;0")</f>
        <v>22.049157805907171</v>
      </c>
      <c r="H12" s="97"/>
      <c r="I12" s="377" t="s">
        <v>339</v>
      </c>
      <c r="J12" s="378"/>
      <c r="K12" s="379"/>
      <c r="L12" s="97"/>
      <c r="S12" s="324" t="s">
        <v>383</v>
      </c>
      <c r="T12" s="326"/>
      <c r="DR12" s="376"/>
    </row>
    <row r="13" spans="1:122" x14ac:dyDescent="0.25">
      <c r="A13" s="345"/>
      <c r="B13" s="97"/>
      <c r="C13" s="52" t="s">
        <v>242</v>
      </c>
      <c r="D13" s="194">
        <f t="array" ref="D13">STDEV(IF(C6:DQ6&gt;0,C6:DQ6))</f>
        <v>9.7215327423342934</v>
      </c>
      <c r="E13" s="194">
        <f t="array" ref="E13">STDEV(IF($C7:$DQ7&gt;0,$C7:$DQ7))</f>
        <v>6.5355992297527248</v>
      </c>
      <c r="F13" s="194">
        <f t="array" ref="F13">STDEV(IF($C8:$DQ8&gt;0,$C8:$DQ8))</f>
        <v>12.689532717847419</v>
      </c>
      <c r="G13" s="195">
        <f t="array" ref="G13">STDEV(IF($C9:$DQ9&gt;0,$C9:$DQ9))</f>
        <v>7.7364332962160676</v>
      </c>
      <c r="H13" s="97"/>
      <c r="I13" s="97"/>
      <c r="J13" s="97"/>
      <c r="K13" s="97"/>
      <c r="L13" s="97"/>
      <c r="S13" s="120" t="s">
        <v>372</v>
      </c>
      <c r="T13" s="122" t="s">
        <v>373</v>
      </c>
      <c r="DR13" s="376"/>
    </row>
    <row r="14" spans="1:122" ht="15.75" thickBot="1" x14ac:dyDescent="0.3">
      <c r="A14" s="345"/>
      <c r="B14" s="97"/>
      <c r="C14" s="53" t="s">
        <v>105</v>
      </c>
      <c r="D14" s="196">
        <f>COUNTIF($C$6:$DQ$6,"&gt;0")</f>
        <v>9</v>
      </c>
      <c r="E14" s="196">
        <f>COUNTIF($C$7:$DQ$7,"&gt;0")</f>
        <v>9</v>
      </c>
      <c r="F14" s="196">
        <f>COUNTIF($C$8:$DQ$8,"&gt;0")</f>
        <v>79</v>
      </c>
      <c r="G14" s="197">
        <f>COUNTIF($C$8:$DQ$8,"&gt;0")</f>
        <v>79</v>
      </c>
      <c r="H14" s="97"/>
      <c r="I14" s="97"/>
      <c r="J14" s="97"/>
      <c r="K14" s="97"/>
      <c r="L14" s="97"/>
      <c r="S14" s="117">
        <f>COUNTIF($B$2:$DQ$2,"N60")</f>
        <v>79</v>
      </c>
      <c r="T14" s="281">
        <f>COUNTIF($B$2:$DQ$2,"2lb Grab")</f>
        <v>9</v>
      </c>
    </row>
    <row r="15" spans="1:122" x14ac:dyDescent="0.25">
      <c r="A15" s="345"/>
      <c r="B15" s="97"/>
    </row>
    <row r="16" spans="1:122" ht="15.75" thickBot="1" x14ac:dyDescent="0.3">
      <c r="A16" s="345"/>
    </row>
    <row r="17" spans="1:13" ht="19.5" thickBot="1" x14ac:dyDescent="0.35">
      <c r="A17" s="345"/>
      <c r="B17" s="357" t="s">
        <v>103</v>
      </c>
      <c r="C17" s="357"/>
      <c r="D17" s="357"/>
      <c r="E17" s="357"/>
      <c r="F17" s="358"/>
      <c r="I17" s="356" t="s">
        <v>102</v>
      </c>
      <c r="J17" s="357"/>
      <c r="K17" s="357"/>
      <c r="L17" s="357"/>
      <c r="M17" s="358"/>
    </row>
    <row r="18" spans="1:13" ht="15.75" thickBot="1" x14ac:dyDescent="0.3">
      <c r="A18" s="345"/>
      <c r="B18" s="192" t="s">
        <v>104</v>
      </c>
      <c r="C18" s="127" t="s">
        <v>247</v>
      </c>
      <c r="D18" s="21"/>
      <c r="E18" s="21"/>
      <c r="F18" s="45"/>
      <c r="I18" s="65" t="s">
        <v>104</v>
      </c>
      <c r="J18" s="127" t="s">
        <v>247</v>
      </c>
      <c r="K18" s="21"/>
      <c r="L18" s="21"/>
      <c r="M18" s="45"/>
    </row>
    <row r="19" spans="1:13" x14ac:dyDescent="0.25">
      <c r="A19" s="345"/>
      <c r="B19" s="21"/>
      <c r="C19" s="21"/>
      <c r="D19" s="21"/>
      <c r="E19" s="21"/>
      <c r="F19" s="45"/>
      <c r="I19" s="44"/>
      <c r="J19" s="21"/>
      <c r="K19" s="21"/>
      <c r="L19" s="21"/>
      <c r="M19" s="45"/>
    </row>
    <row r="20" spans="1:13" x14ac:dyDescent="0.25">
      <c r="A20" s="345"/>
      <c r="B20" s="382" t="s">
        <v>248</v>
      </c>
      <c r="C20" s="383"/>
      <c r="D20" s="21"/>
      <c r="E20" s="383" t="s">
        <v>249</v>
      </c>
      <c r="F20" s="384"/>
      <c r="I20" s="387" t="s">
        <v>250</v>
      </c>
      <c r="J20" s="383"/>
      <c r="K20" s="21"/>
      <c r="L20" s="383" t="s">
        <v>251</v>
      </c>
      <c r="M20" s="384"/>
    </row>
    <row r="21" spans="1:13" x14ac:dyDescent="0.25">
      <c r="A21" s="345"/>
      <c r="B21" s="193" t="s">
        <v>88</v>
      </c>
      <c r="C21" s="123">
        <f>G12</f>
        <v>22.049157805907171</v>
      </c>
      <c r="D21" s="21"/>
      <c r="E21" s="61" t="s">
        <v>88</v>
      </c>
      <c r="F21" s="125">
        <f>E12</f>
        <v>20.320322222222224</v>
      </c>
      <c r="I21" s="64" t="s">
        <v>88</v>
      </c>
      <c r="J21" s="123">
        <f>F12</f>
        <v>38.119770464135037</v>
      </c>
      <c r="K21" s="21"/>
      <c r="L21" s="61" t="s">
        <v>88</v>
      </c>
      <c r="M21" s="125">
        <f>D12</f>
        <v>18.566744444444446</v>
      </c>
    </row>
    <row r="22" spans="1:13" x14ac:dyDescent="0.25">
      <c r="A22" s="345"/>
      <c r="B22" s="193" t="s">
        <v>92</v>
      </c>
      <c r="C22" s="123">
        <f>G13</f>
        <v>7.7364332962160676</v>
      </c>
      <c r="D22" s="21"/>
      <c r="E22" s="61" t="s">
        <v>92</v>
      </c>
      <c r="F22" s="125">
        <f>E13</f>
        <v>6.5355992297527248</v>
      </c>
      <c r="I22" s="64" t="s">
        <v>92</v>
      </c>
      <c r="J22" s="123">
        <f>F13</f>
        <v>12.689532717847419</v>
      </c>
      <c r="K22" s="21"/>
      <c r="L22" s="61" t="s">
        <v>92</v>
      </c>
      <c r="M22" s="125">
        <f>D13</f>
        <v>9.7215327423342934</v>
      </c>
    </row>
    <row r="23" spans="1:13" x14ac:dyDescent="0.25">
      <c r="A23" s="345"/>
      <c r="B23" s="193" t="s">
        <v>105</v>
      </c>
      <c r="C23" s="124">
        <f>G14</f>
        <v>79</v>
      </c>
      <c r="D23" s="21"/>
      <c r="E23" s="61" t="s">
        <v>105</v>
      </c>
      <c r="F23" s="125">
        <f>E14</f>
        <v>9</v>
      </c>
      <c r="I23" s="64" t="s">
        <v>105</v>
      </c>
      <c r="J23" s="123">
        <f>F14</f>
        <v>79</v>
      </c>
      <c r="K23" s="21"/>
      <c r="L23" s="61" t="s">
        <v>105</v>
      </c>
      <c r="M23" s="125">
        <f>D14</f>
        <v>9</v>
      </c>
    </row>
    <row r="24" spans="1:13" x14ac:dyDescent="0.25">
      <c r="A24" s="345"/>
      <c r="B24" s="21"/>
      <c r="C24" s="21"/>
      <c r="D24" s="21"/>
      <c r="E24" s="21"/>
      <c r="F24" s="45"/>
      <c r="I24" s="44"/>
      <c r="J24" s="21"/>
      <c r="K24" s="21"/>
      <c r="L24" s="21"/>
      <c r="M24" s="45"/>
    </row>
    <row r="25" spans="1:13" ht="16.5" thickBot="1" x14ac:dyDescent="0.3">
      <c r="A25" s="345"/>
      <c r="B25" s="385" t="s">
        <v>106</v>
      </c>
      <c r="C25" s="385"/>
      <c r="D25" s="385"/>
      <c r="E25" s="385"/>
      <c r="F25" s="386"/>
      <c r="I25" s="388" t="s">
        <v>106</v>
      </c>
      <c r="J25" s="385"/>
      <c r="K25" s="385"/>
      <c r="L25" s="385"/>
      <c r="M25" s="386"/>
    </row>
    <row r="26" spans="1:13" ht="15.75" thickTop="1" x14ac:dyDescent="0.25">
      <c r="A26" s="345"/>
      <c r="B26" s="21" t="s">
        <v>86</v>
      </c>
      <c r="C26" s="21">
        <f>ROUNDDOWN(((((C22^2)/C23)+((F22^2)/F23))^2)/(((((C22^2)/C23)^2)/(C23-1))+((((F22^2)/F23)^2)/(F23-1))),0)</f>
        <v>10</v>
      </c>
      <c r="D26" s="21"/>
      <c r="E26" s="21"/>
      <c r="F26" s="45"/>
      <c r="I26" s="44" t="s">
        <v>86</v>
      </c>
      <c r="J26" s="21">
        <f>ROUNDDOWN(((((J22^2)/J23)+((M22^2)/M23))^2)/(((((J22^2)/J23)^2)/(J23-1))+((((M22^2)/M23)^2)/(M23-1))),0)</f>
        <v>11</v>
      </c>
      <c r="K26" s="21"/>
      <c r="L26" s="21"/>
      <c r="M26" s="45"/>
    </row>
    <row r="27" spans="1:13" ht="15.75" thickBot="1" x14ac:dyDescent="0.3">
      <c r="A27" s="345"/>
      <c r="B27" s="21" t="s">
        <v>108</v>
      </c>
      <c r="C27" s="21">
        <v>0.05</v>
      </c>
      <c r="D27" s="21"/>
      <c r="E27" s="21"/>
      <c r="F27" s="45"/>
      <c r="I27" s="44" t="s">
        <v>108</v>
      </c>
      <c r="J27" s="21">
        <v>0.05</v>
      </c>
      <c r="K27" s="21"/>
      <c r="L27" s="21"/>
      <c r="M27" s="45"/>
    </row>
    <row r="28" spans="1:13" ht="15.75" thickBot="1" x14ac:dyDescent="0.3">
      <c r="A28" s="345"/>
      <c r="B28" s="21" t="s">
        <v>131</v>
      </c>
      <c r="C28" s="284">
        <f>(C21-F21)/(SQRT(((C22^2)/C23)+((F22^2)/F23)))</f>
        <v>0.73693470867788391</v>
      </c>
      <c r="D28" s="221"/>
      <c r="E28" s="221"/>
      <c r="F28" s="222"/>
      <c r="G28" s="9"/>
      <c r="H28" s="9"/>
      <c r="I28" s="264" t="s">
        <v>131</v>
      </c>
      <c r="J28" s="285">
        <f>(J21-M21)/(SQRT(((J22^2)/J23)+((M22^2)/M23)))</f>
        <v>5.5217811924676772</v>
      </c>
      <c r="K28" s="21"/>
      <c r="L28" s="21"/>
      <c r="M28" s="45"/>
    </row>
    <row r="29" spans="1:13" x14ac:dyDescent="0.25">
      <c r="A29" s="345"/>
      <c r="B29" s="21" t="s">
        <v>337</v>
      </c>
      <c r="C29" s="39">
        <f>VLOOKUP(C26,'t-Distribution'!$A$6:$M$52, MATCH(C27,'t-Distribution'!A4:M4,0))</f>
        <v>2.2281388519862744</v>
      </c>
      <c r="D29" s="221"/>
      <c r="E29" s="221"/>
      <c r="F29" s="222"/>
      <c r="G29" s="9"/>
      <c r="H29" s="9"/>
      <c r="I29" s="264" t="s">
        <v>337</v>
      </c>
      <c r="J29" s="221">
        <f>VLOOKUP(J26,'t-Distribution'!$A$6:$M$52, MATCH(J27,'t-Distribution'!A4:M4,0))</f>
        <v>2.2009851600916384</v>
      </c>
      <c r="K29" s="21"/>
      <c r="L29" s="21"/>
      <c r="M29" s="45"/>
    </row>
    <row r="30" spans="1:13" x14ac:dyDescent="0.25">
      <c r="A30" s="345"/>
      <c r="B30" s="21"/>
      <c r="C30" s="21"/>
      <c r="D30" s="21"/>
      <c r="E30" s="21"/>
      <c r="F30" s="45"/>
      <c r="I30" s="44"/>
      <c r="J30" s="21"/>
      <c r="K30" s="21"/>
      <c r="L30" s="21"/>
      <c r="M30" s="45"/>
    </row>
    <row r="31" spans="1:13" ht="19.5" thickBot="1" x14ac:dyDescent="0.35">
      <c r="A31" s="345"/>
      <c r="B31" s="63" t="s">
        <v>109</v>
      </c>
      <c r="C31" s="63" t="str">
        <f>IF(ABS(C28)&lt;C29,"Accept","Reject")</f>
        <v>Accept</v>
      </c>
      <c r="D31" s="46"/>
      <c r="E31" s="46"/>
      <c r="F31" s="47"/>
      <c r="I31" s="62" t="s">
        <v>109</v>
      </c>
      <c r="J31" s="63" t="str">
        <f>IF(ABS(J28)&lt;J29,"Accept","Reject")</f>
        <v>Reject</v>
      </c>
      <c r="K31" s="46"/>
      <c r="L31" s="46"/>
      <c r="M31" s="47"/>
    </row>
    <row r="32" spans="1:13" x14ac:dyDescent="0.25">
      <c r="A32" s="345"/>
    </row>
    <row r="33" spans="1:13" ht="15" customHeight="1" x14ac:dyDescent="0.25">
      <c r="A33" s="345"/>
      <c r="B33" s="380" t="s">
        <v>340</v>
      </c>
      <c r="C33" s="381"/>
      <c r="D33" s="381"/>
      <c r="E33" s="381"/>
      <c r="F33" s="381"/>
      <c r="I33" s="381" t="s">
        <v>341</v>
      </c>
      <c r="J33" s="381"/>
      <c r="K33" s="381"/>
      <c r="L33" s="381"/>
      <c r="M33" s="381"/>
    </row>
    <row r="34" spans="1:13" ht="15.75" thickBot="1" x14ac:dyDescent="0.3">
      <c r="A34" s="346"/>
      <c r="B34" s="380"/>
      <c r="C34" s="381"/>
      <c r="D34" s="381"/>
      <c r="E34" s="381"/>
      <c r="F34" s="381"/>
      <c r="I34" s="381"/>
      <c r="J34" s="381"/>
      <c r="K34" s="381"/>
      <c r="L34" s="381"/>
      <c r="M34" s="381"/>
    </row>
    <row r="35" spans="1:13" x14ac:dyDescent="0.25">
      <c r="B35" s="12"/>
      <c r="C35" s="97"/>
      <c r="D35" s="97"/>
      <c r="E35" s="97"/>
    </row>
    <row r="36" spans="1:13" x14ac:dyDescent="0.25">
      <c r="B36" s="12"/>
      <c r="C36" s="97"/>
      <c r="D36" s="97"/>
      <c r="E36" s="97"/>
    </row>
    <row r="37" spans="1:13" x14ac:dyDescent="0.25">
      <c r="B37" s="12"/>
      <c r="C37" s="97"/>
      <c r="D37" s="97"/>
      <c r="E37" s="97"/>
    </row>
    <row r="38" spans="1:13" x14ac:dyDescent="0.25">
      <c r="B38" s="12"/>
      <c r="C38" s="97"/>
      <c r="D38" s="97"/>
      <c r="E38" s="97"/>
    </row>
    <row r="39" spans="1:13" x14ac:dyDescent="0.25">
      <c r="B39" s="12"/>
      <c r="C39" s="97"/>
      <c r="D39" s="97"/>
      <c r="E39" s="97"/>
    </row>
    <row r="40" spans="1:13" x14ac:dyDescent="0.25">
      <c r="B40" s="12"/>
      <c r="C40" s="97"/>
      <c r="D40" s="97"/>
      <c r="E40" s="97"/>
    </row>
    <row r="41" spans="1:13" x14ac:dyDescent="0.25">
      <c r="B41" s="12"/>
      <c r="C41" s="97"/>
      <c r="D41" s="97"/>
      <c r="E41" s="97"/>
    </row>
    <row r="42" spans="1:13" x14ac:dyDescent="0.25">
      <c r="B42" s="12"/>
      <c r="C42" s="97"/>
      <c r="D42" s="97"/>
      <c r="E42" s="97"/>
    </row>
    <row r="43" spans="1:13" x14ac:dyDescent="0.25">
      <c r="B43" s="12"/>
      <c r="C43" s="97"/>
      <c r="D43" s="97"/>
      <c r="E43" s="97"/>
    </row>
    <row r="44" spans="1:13" x14ac:dyDescent="0.25">
      <c r="B44" s="12"/>
      <c r="C44" s="97"/>
      <c r="D44" s="97"/>
      <c r="E44" s="97"/>
    </row>
    <row r="45" spans="1:13" x14ac:dyDescent="0.25">
      <c r="B45" s="12"/>
      <c r="C45" s="97"/>
      <c r="D45" s="97"/>
      <c r="E45" s="97"/>
    </row>
    <row r="46" spans="1:13" x14ac:dyDescent="0.25">
      <c r="B46" s="12"/>
      <c r="C46" s="97"/>
      <c r="D46" s="97"/>
      <c r="E46" s="97"/>
    </row>
    <row r="47" spans="1:13" x14ac:dyDescent="0.25">
      <c r="B47" s="12"/>
      <c r="C47" s="97"/>
      <c r="D47" s="97"/>
      <c r="E47" s="97"/>
    </row>
    <row r="48" spans="1:13" x14ac:dyDescent="0.25">
      <c r="B48" s="12"/>
      <c r="C48" s="97"/>
      <c r="D48" s="97"/>
      <c r="E48" s="97"/>
    </row>
    <row r="49" spans="2:5" x14ac:dyDescent="0.25">
      <c r="B49" s="12"/>
      <c r="C49" s="97"/>
      <c r="D49" s="97"/>
      <c r="E49" s="97"/>
    </row>
    <row r="50" spans="2:5" x14ac:dyDescent="0.25">
      <c r="B50" s="12"/>
      <c r="C50" s="97"/>
      <c r="D50" s="97"/>
      <c r="E50" s="97"/>
    </row>
    <row r="51" spans="2:5" x14ac:dyDescent="0.25">
      <c r="B51" s="12"/>
      <c r="C51" s="97"/>
      <c r="D51" s="97"/>
      <c r="E51" s="97"/>
    </row>
    <row r="52" spans="2:5" x14ac:dyDescent="0.25">
      <c r="B52" s="12"/>
      <c r="C52" s="97"/>
      <c r="D52" s="97"/>
      <c r="E52" s="97"/>
    </row>
    <row r="53" spans="2:5" x14ac:dyDescent="0.25">
      <c r="B53" s="12"/>
      <c r="C53" s="97"/>
      <c r="D53" s="97"/>
      <c r="E53" s="97"/>
    </row>
    <row r="54" spans="2:5" x14ac:dyDescent="0.25">
      <c r="B54" s="12"/>
      <c r="C54" s="97"/>
      <c r="D54" s="97"/>
      <c r="E54" s="97"/>
    </row>
    <row r="55" spans="2:5" x14ac:dyDescent="0.25">
      <c r="B55" s="12"/>
      <c r="C55" s="97"/>
      <c r="D55" s="97"/>
      <c r="E55" s="97"/>
    </row>
    <row r="56" spans="2:5" x14ac:dyDescent="0.25">
      <c r="B56" s="12"/>
      <c r="C56" s="97"/>
      <c r="D56" s="97"/>
      <c r="E56" s="97"/>
    </row>
    <row r="57" spans="2:5" x14ac:dyDescent="0.25">
      <c r="B57" s="12"/>
      <c r="C57" s="97"/>
      <c r="D57" s="97"/>
      <c r="E57" s="97"/>
    </row>
    <row r="58" spans="2:5" x14ac:dyDescent="0.25">
      <c r="B58" s="12"/>
      <c r="C58" s="97"/>
      <c r="D58" s="97"/>
      <c r="E58" s="97"/>
    </row>
    <row r="59" spans="2:5" x14ac:dyDescent="0.25">
      <c r="B59" s="12"/>
      <c r="C59" s="97"/>
      <c r="D59" s="97"/>
      <c r="E59" s="97"/>
    </row>
    <row r="60" spans="2:5" x14ac:dyDescent="0.25">
      <c r="B60" s="12"/>
      <c r="C60" s="97"/>
      <c r="D60" s="97"/>
      <c r="E60" s="97"/>
    </row>
    <row r="61" spans="2:5" x14ac:dyDescent="0.25">
      <c r="B61" s="12"/>
      <c r="C61" s="97"/>
      <c r="D61" s="97"/>
      <c r="E61" s="97"/>
    </row>
    <row r="62" spans="2:5" x14ac:dyDescent="0.25">
      <c r="B62" s="12"/>
      <c r="C62" s="97"/>
      <c r="D62" s="97"/>
      <c r="E62" s="97"/>
    </row>
    <row r="63" spans="2:5" x14ac:dyDescent="0.25">
      <c r="B63" s="12"/>
      <c r="C63" s="97"/>
      <c r="D63" s="97"/>
      <c r="E63" s="97"/>
    </row>
    <row r="64" spans="2:5" x14ac:dyDescent="0.25">
      <c r="B64" s="12"/>
      <c r="C64" s="97"/>
      <c r="D64" s="97"/>
      <c r="E64" s="97"/>
    </row>
    <row r="65" spans="2:5" x14ac:dyDescent="0.25">
      <c r="B65" s="12"/>
      <c r="C65" s="97"/>
      <c r="D65" s="97"/>
      <c r="E65" s="97"/>
    </row>
    <row r="66" spans="2:5" x14ac:dyDescent="0.25">
      <c r="B66" s="12"/>
      <c r="C66" s="97"/>
      <c r="D66" s="97"/>
      <c r="E66" s="97"/>
    </row>
    <row r="67" spans="2:5" x14ac:dyDescent="0.25">
      <c r="B67" s="12"/>
      <c r="C67" s="97"/>
      <c r="D67" s="97"/>
      <c r="E67" s="97"/>
    </row>
    <row r="68" spans="2:5" x14ac:dyDescent="0.25">
      <c r="B68" s="12"/>
      <c r="C68" s="97"/>
      <c r="D68" s="97"/>
      <c r="E68" s="97"/>
    </row>
    <row r="69" spans="2:5" x14ac:dyDescent="0.25">
      <c r="B69" s="12"/>
      <c r="C69" s="97"/>
      <c r="D69" s="97"/>
      <c r="E69" s="97"/>
    </row>
    <row r="70" spans="2:5" x14ac:dyDescent="0.25">
      <c r="B70" s="12"/>
      <c r="C70" s="97"/>
      <c r="D70" s="97"/>
      <c r="E70" s="97"/>
    </row>
    <row r="71" spans="2:5" x14ac:dyDescent="0.25">
      <c r="B71" s="12"/>
      <c r="C71" s="97"/>
      <c r="D71" s="97"/>
      <c r="E71" s="97"/>
    </row>
    <row r="72" spans="2:5" x14ac:dyDescent="0.25">
      <c r="B72" s="12"/>
      <c r="C72" s="97"/>
      <c r="D72" s="97"/>
      <c r="E72" s="97"/>
    </row>
    <row r="73" spans="2:5" x14ac:dyDescent="0.25">
      <c r="B73" s="12"/>
      <c r="C73" s="97"/>
      <c r="D73" s="97"/>
      <c r="E73" s="97"/>
    </row>
    <row r="74" spans="2:5" x14ac:dyDescent="0.25">
      <c r="B74" s="12"/>
      <c r="C74" s="97"/>
      <c r="D74" s="97"/>
      <c r="E74" s="97"/>
    </row>
    <row r="75" spans="2:5" x14ac:dyDescent="0.25">
      <c r="B75" s="12"/>
      <c r="C75" s="97"/>
      <c r="D75" s="97"/>
      <c r="E75" s="97"/>
    </row>
    <row r="76" spans="2:5" x14ac:dyDescent="0.25">
      <c r="B76" s="12"/>
      <c r="C76" s="97"/>
      <c r="D76" s="97"/>
      <c r="E76" s="97"/>
    </row>
    <row r="77" spans="2:5" x14ac:dyDescent="0.25">
      <c r="B77" s="12"/>
      <c r="C77" s="97"/>
      <c r="D77" s="97"/>
      <c r="E77" s="97"/>
    </row>
    <row r="78" spans="2:5" x14ac:dyDescent="0.25">
      <c r="B78" s="12"/>
      <c r="C78" s="97"/>
      <c r="D78" s="97"/>
      <c r="E78" s="97"/>
    </row>
    <row r="79" spans="2:5" x14ac:dyDescent="0.25">
      <c r="B79" s="12"/>
      <c r="C79" s="97"/>
      <c r="D79" s="97"/>
      <c r="E79" s="97"/>
    </row>
    <row r="80" spans="2:5" x14ac:dyDescent="0.25">
      <c r="B80" s="12"/>
      <c r="C80" s="97"/>
      <c r="D80" s="97"/>
      <c r="E80" s="97"/>
    </row>
    <row r="81" spans="2:5" x14ac:dyDescent="0.25">
      <c r="B81" s="12"/>
      <c r="C81" s="97"/>
      <c r="D81" s="97"/>
      <c r="E81" s="97"/>
    </row>
    <row r="82" spans="2:5" x14ac:dyDescent="0.25">
      <c r="B82" s="12"/>
      <c r="C82" s="97"/>
      <c r="D82" s="97"/>
      <c r="E82" s="97"/>
    </row>
    <row r="83" spans="2:5" x14ac:dyDescent="0.25">
      <c r="B83" s="12"/>
      <c r="C83" s="97"/>
      <c r="D83" s="97"/>
      <c r="E83" s="97"/>
    </row>
    <row r="84" spans="2:5" x14ac:dyDescent="0.25">
      <c r="B84" s="12"/>
      <c r="C84" s="97"/>
      <c r="D84" s="97"/>
      <c r="E84" s="97"/>
    </row>
    <row r="85" spans="2:5" x14ac:dyDescent="0.25">
      <c r="B85" s="12"/>
      <c r="C85" s="97"/>
      <c r="D85" s="97"/>
      <c r="E85" s="97"/>
    </row>
  </sheetData>
  <sortState columnSort="1" ref="B1:BY7">
    <sortCondition ref="B1:BY1"/>
  </sortState>
  <mergeCells count="14">
    <mergeCell ref="DR1:DR13"/>
    <mergeCell ref="I12:K12"/>
    <mergeCell ref="B33:F34"/>
    <mergeCell ref="I33:M34"/>
    <mergeCell ref="A1:A34"/>
    <mergeCell ref="B17:F17"/>
    <mergeCell ref="B20:C20"/>
    <mergeCell ref="E20:F20"/>
    <mergeCell ref="B25:F25"/>
    <mergeCell ref="I17:M17"/>
    <mergeCell ref="I20:J20"/>
    <mergeCell ref="L20:M20"/>
    <mergeCell ref="I25:M25"/>
    <mergeCell ref="S12:T12"/>
  </mergeCell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't-Distribution'!$B$4:$M$4</xm:f>
          </x14:formula1>
          <xm:sqref>C27 J27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Q40"/>
  <sheetViews>
    <sheetView workbookViewId="0">
      <selection activeCell="F21" sqref="F21"/>
    </sheetView>
  </sheetViews>
  <sheetFormatPr defaultRowHeight="15" x14ac:dyDescent="0.25"/>
  <cols>
    <col min="1" max="1" width="25.140625" customWidth="1"/>
    <col min="2" max="2" width="9.42578125" customWidth="1"/>
    <col min="3" max="3" width="23.140625" style="97" customWidth="1"/>
    <col min="4" max="4" width="18.42578125" style="97" bestFit="1" customWidth="1"/>
    <col min="5" max="5" width="9.28515625" style="97" bestFit="1" customWidth="1"/>
    <col min="6" max="6" width="18.28515625" style="97" bestFit="1" customWidth="1"/>
    <col min="7" max="7" width="8.5703125" style="97" bestFit="1" customWidth="1"/>
    <col min="8" max="8" width="9.5703125" style="97" bestFit="1" customWidth="1"/>
    <col min="9" max="9" width="18.140625" style="97" bestFit="1" customWidth="1"/>
    <col min="10" max="10" width="18.28515625" style="97" bestFit="1" customWidth="1"/>
    <col min="11" max="11" width="18.42578125" style="97" bestFit="1" customWidth="1"/>
    <col min="12" max="13" width="18.28515625" style="97" bestFit="1" customWidth="1"/>
    <col min="14" max="14" width="8.5703125" style="97" bestFit="1" customWidth="1"/>
    <col min="15" max="16" width="9.28515625" style="97" bestFit="1" customWidth="1"/>
    <col min="17" max="17" width="9.5703125" style="97" bestFit="1" customWidth="1"/>
    <col min="18" max="21" width="9.28515625" style="97" bestFit="1" customWidth="1"/>
    <col min="22" max="22" width="9.5703125" style="97" bestFit="1" customWidth="1"/>
    <col min="23" max="23" width="9.28515625" style="97" bestFit="1" customWidth="1"/>
    <col min="24" max="24" width="9.5703125" style="97" bestFit="1" customWidth="1"/>
    <col min="25" max="27" width="9.28515625" style="97" bestFit="1" customWidth="1"/>
    <col min="28" max="28" width="9.5703125" style="97" bestFit="1" customWidth="1"/>
    <col min="29" max="34" width="9.28515625" style="97" bestFit="1" customWidth="1"/>
    <col min="35" max="35" width="9.5703125" style="97" bestFit="1" customWidth="1"/>
    <col min="36" max="38" width="9.28515625" style="97" bestFit="1" customWidth="1"/>
    <col min="39" max="39" width="9.5703125" style="97" bestFit="1" customWidth="1"/>
    <col min="40" max="44" width="9.28515625" style="97" bestFit="1" customWidth="1"/>
    <col min="45" max="45" width="9.5703125" style="97" bestFit="1" customWidth="1"/>
    <col min="46" max="50" width="9.28515625" style="97" bestFit="1" customWidth="1"/>
    <col min="51" max="51" width="9.5703125" style="97" bestFit="1" customWidth="1"/>
    <col min="52" max="57" width="9.28515625" style="97" bestFit="1" customWidth="1"/>
    <col min="58" max="58" width="9.5703125" style="97" bestFit="1" customWidth="1"/>
    <col min="59" max="61" width="9.28515625" style="97" bestFit="1" customWidth="1"/>
    <col min="62" max="62" width="9.5703125" style="97" bestFit="1" customWidth="1"/>
    <col min="63" max="65" width="9.28515625" style="97" bestFit="1" customWidth="1"/>
    <col min="66" max="66" width="9.5703125" style="97" bestFit="1" customWidth="1"/>
    <col min="67" max="76" width="9.28515625" style="97" bestFit="1" customWidth="1"/>
    <col min="77" max="77" width="9.5703125" style="97" bestFit="1" customWidth="1"/>
    <col min="78" max="78" width="9.28515625" style="97" bestFit="1" customWidth="1"/>
    <col min="79" max="120" width="9.140625" style="97"/>
    <col min="121" max="121" width="36.28515625" style="97" customWidth="1"/>
    <col min="122" max="16384" width="9.140625" style="97"/>
  </cols>
  <sheetData>
    <row r="1" spans="1:121" ht="15" customHeight="1" x14ac:dyDescent="0.25">
      <c r="A1" s="344" t="s">
        <v>377</v>
      </c>
      <c r="C1" s="97" t="str">
        <f>'Indirect vs Direct'!B1</f>
        <v>Data</v>
      </c>
      <c r="D1" s="97" t="str">
        <f>'Indirect vs Direct'!C1</f>
        <v>001-13</v>
      </c>
      <c r="E1" s="97" t="str">
        <f>'Indirect vs Direct'!D1</f>
        <v>002-13</v>
      </c>
      <c r="F1" s="97" t="str">
        <f>'Indirect vs Direct'!E1</f>
        <v>003-13</v>
      </c>
      <c r="G1" s="97" t="str">
        <f>'Indirect vs Direct'!F1</f>
        <v>004-13</v>
      </c>
      <c r="H1" s="97" t="str">
        <f>'Indirect vs Direct'!G1</f>
        <v>005-13</v>
      </c>
      <c r="I1" s="97" t="str">
        <f>'Indirect vs Direct'!H1</f>
        <v>006-13</v>
      </c>
      <c r="J1" s="97" t="str">
        <f>'Indirect vs Direct'!I1</f>
        <v>007-13</v>
      </c>
      <c r="K1" s="97" t="str">
        <f>'Indirect vs Direct'!J1</f>
        <v>008-13</v>
      </c>
      <c r="L1" s="97" t="str">
        <f>'Indirect vs Direct'!K1</f>
        <v>009-13</v>
      </c>
      <c r="M1" s="97" t="str">
        <f>'Indirect vs Direct'!L1</f>
        <v>010-13</v>
      </c>
      <c r="N1" s="97" t="str">
        <f>'Indirect vs Direct'!M1</f>
        <v>011-13</v>
      </c>
      <c r="O1" s="97" t="str">
        <f>'Indirect vs Direct'!N1</f>
        <v>012-13</v>
      </c>
      <c r="P1" s="97" t="str">
        <f>'Indirect vs Direct'!O1</f>
        <v>013-13</v>
      </c>
      <c r="Q1" s="97" t="str">
        <f>'Indirect vs Direct'!P1</f>
        <v>014-13</v>
      </c>
      <c r="R1" s="97" t="str">
        <f>'Indirect vs Direct'!Q1</f>
        <v>015-13</v>
      </c>
      <c r="S1" s="97" t="str">
        <f>'Indirect vs Direct'!R1</f>
        <v>017-13</v>
      </c>
      <c r="T1" s="97" t="str">
        <f>'Indirect vs Direct'!S1</f>
        <v>018-13</v>
      </c>
      <c r="U1" s="97" t="str">
        <f>'Indirect vs Direct'!T1</f>
        <v>019-13</v>
      </c>
      <c r="V1" s="97" t="str">
        <f>'Indirect vs Direct'!U1</f>
        <v>020-13</v>
      </c>
      <c r="W1" s="97" t="str">
        <f>'Indirect vs Direct'!V1</f>
        <v>021-13</v>
      </c>
      <c r="X1" s="97" t="str">
        <f>'Indirect vs Direct'!W1</f>
        <v>022-13</v>
      </c>
      <c r="Y1" s="97" t="str">
        <f>'Indirect vs Direct'!X1</f>
        <v>023-13</v>
      </c>
      <c r="Z1" s="97" t="str">
        <f>'Indirect vs Direct'!Y1</f>
        <v>024-13</v>
      </c>
      <c r="AA1" s="97" t="str">
        <f>'Indirect vs Direct'!Z1</f>
        <v>026-13</v>
      </c>
      <c r="AB1" s="97" t="str">
        <f>'Indirect vs Direct'!AA1</f>
        <v>027-13</v>
      </c>
      <c r="AC1" s="97" t="str">
        <f>'Indirect vs Direct'!AB1</f>
        <v>028-13</v>
      </c>
      <c r="AD1" s="97" t="str">
        <f>'Indirect vs Direct'!AC1</f>
        <v>029-13</v>
      </c>
      <c r="AE1" s="97" t="str">
        <f>'Indirect vs Direct'!AD1</f>
        <v>030-13</v>
      </c>
      <c r="AF1" s="97" t="str">
        <f>'Indirect vs Direct'!AE1</f>
        <v>031-13</v>
      </c>
      <c r="AG1" s="97" t="str">
        <f>'Indirect vs Direct'!AF1</f>
        <v>032-13</v>
      </c>
      <c r="AH1" s="97" t="str">
        <f>'Indirect vs Direct'!AG1</f>
        <v>033-13</v>
      </c>
      <c r="AI1" s="97" t="str">
        <f>'Indirect vs Direct'!AH1</f>
        <v>034-13</v>
      </c>
      <c r="AJ1" s="97" t="str">
        <f>'Indirect vs Direct'!AI1</f>
        <v>035-13</v>
      </c>
      <c r="AK1" s="97" t="str">
        <f>'Indirect vs Direct'!AJ1</f>
        <v>036-13</v>
      </c>
      <c r="AL1" s="97" t="str">
        <f>'Indirect vs Direct'!AK1</f>
        <v>037-13</v>
      </c>
      <c r="AM1" s="97" t="str">
        <f>'Indirect vs Direct'!AL1</f>
        <v>038-13</v>
      </c>
      <c r="AN1" s="97" t="str">
        <f>'Indirect vs Direct'!AM1</f>
        <v>039-13</v>
      </c>
      <c r="AO1" s="97" t="str">
        <f>'Indirect vs Direct'!AN1</f>
        <v>040-13</v>
      </c>
      <c r="AP1" s="97" t="str">
        <f>'Indirect vs Direct'!AO1</f>
        <v>041-13</v>
      </c>
      <c r="AQ1" s="97" t="str">
        <f>'Indirect vs Direct'!AP1</f>
        <v>042-13</v>
      </c>
      <c r="AR1" s="97" t="str">
        <f>'Indirect vs Direct'!AQ1</f>
        <v>043-13</v>
      </c>
      <c r="AS1" s="97" t="str">
        <f>'Indirect vs Direct'!AR1</f>
        <v>045-13</v>
      </c>
      <c r="AT1" s="97" t="str">
        <f>'Indirect vs Direct'!AS1</f>
        <v>046-13</v>
      </c>
      <c r="AU1" s="97" t="str">
        <f>'Indirect vs Direct'!AT1</f>
        <v>047-13</v>
      </c>
      <c r="AV1" s="97" t="str">
        <f>'Indirect vs Direct'!AU1</f>
        <v>048-13</v>
      </c>
      <c r="AW1" s="97" t="str">
        <f>'Indirect vs Direct'!AV1</f>
        <v>049-13</v>
      </c>
      <c r="AX1" s="97" t="str">
        <f>'Indirect vs Direct'!AW1</f>
        <v>050-13</v>
      </c>
      <c r="AY1" s="97" t="str">
        <f>'Indirect vs Direct'!AX1</f>
        <v>052-13</v>
      </c>
      <c r="AZ1" s="97" t="str">
        <f>'Indirect vs Direct'!AY1</f>
        <v>053-13</v>
      </c>
      <c r="BA1" s="97" t="str">
        <f>'Indirect vs Direct'!AZ1</f>
        <v>054-13</v>
      </c>
      <c r="BB1" s="97" t="str">
        <f>'Indirect vs Direct'!BA1</f>
        <v>055-13</v>
      </c>
      <c r="BC1" s="97" t="str">
        <f>'Indirect vs Direct'!BB1</f>
        <v>057-13</v>
      </c>
      <c r="BD1" s="97" t="str">
        <f>'Indirect vs Direct'!BC1</f>
        <v>058-13</v>
      </c>
      <c r="BE1" s="97" t="str">
        <f>'Indirect vs Direct'!BD1</f>
        <v>059-13</v>
      </c>
      <c r="BF1" s="97" t="str">
        <f>'Indirect vs Direct'!BE1</f>
        <v>060-13</v>
      </c>
      <c r="BG1" s="97" t="str">
        <f>'Indirect vs Direct'!BF1</f>
        <v>061-13</v>
      </c>
      <c r="BH1" s="97" t="str">
        <f>'Indirect vs Direct'!BG1</f>
        <v>062-13</v>
      </c>
      <c r="BI1" s="97" t="str">
        <f>'Indirect vs Direct'!BH1</f>
        <v>063-13</v>
      </c>
      <c r="BJ1" s="97" t="str">
        <f>'Indirect vs Direct'!BI1</f>
        <v>064-13</v>
      </c>
      <c r="BK1" s="97" t="str">
        <f>'Indirect vs Direct'!BJ1</f>
        <v>065-13</v>
      </c>
      <c r="BL1" s="97" t="str">
        <f>'Indirect vs Direct'!BK1</f>
        <v>067-13</v>
      </c>
      <c r="BM1" s="97" t="str">
        <f>'Indirect vs Direct'!BL1</f>
        <v>068-13</v>
      </c>
      <c r="BN1" s="97" t="str">
        <f>'Indirect vs Direct'!BM1</f>
        <v>069-13</v>
      </c>
      <c r="BO1" s="97" t="str">
        <f>'Indirect vs Direct'!BN1</f>
        <v>070-13</v>
      </c>
      <c r="BP1" s="97" t="str">
        <f>'Indirect vs Direct'!BO1</f>
        <v>071-13</v>
      </c>
      <c r="BQ1" s="97" t="str">
        <f>'Indirect vs Direct'!BP1</f>
        <v>072-13</v>
      </c>
      <c r="BR1" s="97" t="str">
        <f>'Indirect vs Direct'!BQ1</f>
        <v>073-13</v>
      </c>
      <c r="BS1" s="97" t="str">
        <f>'Indirect vs Direct'!BR1</f>
        <v>074-13</v>
      </c>
      <c r="BT1" s="97" t="str">
        <f>'Indirect vs Direct'!BS1</f>
        <v>075-13</v>
      </c>
      <c r="BU1" s="97" t="str">
        <f>'Indirect vs Direct'!BT1</f>
        <v>076-13</v>
      </c>
      <c r="BV1" s="97" t="str">
        <f>'Indirect vs Direct'!BU1</f>
        <v>077-13</v>
      </c>
      <c r="BW1" s="97" t="str">
        <f>'Indirect vs Direct'!BV1</f>
        <v>078-13</v>
      </c>
      <c r="BX1" s="97" t="str">
        <f>'Indirect vs Direct'!BW1</f>
        <v>079-13</v>
      </c>
      <c r="BY1" s="97" t="str">
        <f>'Indirect vs Direct'!BX1</f>
        <v>080-13</v>
      </c>
      <c r="BZ1" s="97" t="str">
        <f>'Indirect vs Direct'!BY1</f>
        <v>081-13</v>
      </c>
      <c r="CA1" s="97" t="str">
        <f>'Indirect vs Direct'!BZ1</f>
        <v>082-13</v>
      </c>
      <c r="CB1" s="97" t="str">
        <f>'Indirect vs Direct'!CA1</f>
        <v>083-13</v>
      </c>
      <c r="CC1" s="97" t="str">
        <f>'Indirect vs Direct'!CB1</f>
        <v>084-13</v>
      </c>
      <c r="CD1" s="97" t="str">
        <f>'Indirect vs Direct'!CC1</f>
        <v>085-13</v>
      </c>
      <c r="CE1" s="97" t="str">
        <f>'Indirect vs Direct'!CD1</f>
        <v>086-13</v>
      </c>
      <c r="CF1" s="97" t="str">
        <f>'Indirect vs Direct'!CE1</f>
        <v>087-13</v>
      </c>
      <c r="CG1" s="97" t="str">
        <f>'Indirect vs Direct'!CF1</f>
        <v>088-13</v>
      </c>
      <c r="CH1" s="97" t="str">
        <f>'Indirect vs Direct'!CG1</f>
        <v>089-13</v>
      </c>
      <c r="CI1" s="97" t="str">
        <f>'Indirect vs Direct'!CH1</f>
        <v>090-13</v>
      </c>
      <c r="CJ1" s="97" t="str">
        <f>'Indirect vs Direct'!CI1</f>
        <v>091-13</v>
      </c>
      <c r="CK1" s="97" t="str">
        <f>'Indirect vs Direct'!CJ1</f>
        <v>092-13</v>
      </c>
      <c r="CL1" s="97" t="str">
        <f>'Indirect vs Direct'!CK1</f>
        <v>093-13</v>
      </c>
      <c r="CM1" s="97" t="str">
        <f>'Indirect vs Direct'!CL1</f>
        <v>094-13</v>
      </c>
      <c r="DQ1" s="376" t="s">
        <v>338</v>
      </c>
    </row>
    <row r="2" spans="1:121" x14ac:dyDescent="0.25">
      <c r="A2" s="345"/>
      <c r="C2" s="97" t="str">
        <f>'Indirect vs Direct'!B2</f>
        <v>Plant Size</v>
      </c>
      <c r="D2" s="97">
        <f>'Indirect vs Direct'!C2</f>
        <v>35000</v>
      </c>
      <c r="E2" s="97">
        <f>'Indirect vs Direct'!D2</f>
        <v>61000</v>
      </c>
      <c r="F2" s="97">
        <f>'Indirect vs Direct'!E2</f>
        <v>14000</v>
      </c>
      <c r="G2" s="97">
        <f>'Indirect vs Direct'!F2</f>
        <v>170000</v>
      </c>
      <c r="H2" s="97">
        <f>'Indirect vs Direct'!G2</f>
        <v>4750</v>
      </c>
      <c r="I2" s="97">
        <f>'Indirect vs Direct'!H2</f>
        <v>118000</v>
      </c>
      <c r="J2" s="97">
        <f>'Indirect vs Direct'!I2</f>
        <v>3880</v>
      </c>
      <c r="K2" s="97">
        <f>'Indirect vs Direct'!J2</f>
        <v>7000</v>
      </c>
      <c r="L2" s="97">
        <f>'Indirect vs Direct'!K2</f>
        <v>2400</v>
      </c>
      <c r="M2" s="97">
        <f>'Indirect vs Direct'!L2</f>
        <v>7764</v>
      </c>
      <c r="N2" s="97">
        <f>'Indirect vs Direct'!M2</f>
        <v>3450</v>
      </c>
      <c r="O2" s="97">
        <f>'Indirect vs Direct'!N2</f>
        <v>6000</v>
      </c>
      <c r="P2" s="97">
        <f>'Indirect vs Direct'!O2</f>
        <v>223200</v>
      </c>
      <c r="Q2" s="97">
        <f>'Indirect vs Direct'!P2</f>
        <v>45000</v>
      </c>
      <c r="R2" s="97">
        <f>'Indirect vs Direct'!Q2</f>
        <v>16000</v>
      </c>
      <c r="S2" s="97">
        <f>'Indirect vs Direct'!R2</f>
        <v>1000</v>
      </c>
      <c r="T2" s="97">
        <f>'Indirect vs Direct'!S2</f>
        <v>7000</v>
      </c>
      <c r="U2" s="97">
        <f>'Indirect vs Direct'!T2</f>
        <v>2500</v>
      </c>
      <c r="V2" s="97">
        <f>'Indirect vs Direct'!U2</f>
        <v>20000</v>
      </c>
      <c r="W2" s="97">
        <f>'Indirect vs Direct'!V2</f>
        <v>29568</v>
      </c>
      <c r="X2" s="97">
        <f>'Indirect vs Direct'!W2</f>
        <v>10000</v>
      </c>
      <c r="Y2" s="97">
        <f>'Indirect vs Direct'!X2</f>
        <v>566670</v>
      </c>
      <c r="Z2" s="97">
        <f>'Indirect vs Direct'!Y2</f>
        <v>500000</v>
      </c>
      <c r="AA2" s="97">
        <f>'Indirect vs Direct'!Z2</f>
        <v>3600</v>
      </c>
      <c r="AB2" s="97">
        <f>'Indirect vs Direct'!AA2</f>
        <v>11579</v>
      </c>
      <c r="AC2" s="97">
        <f>'Indirect vs Direct'!AB2</f>
        <v>3821</v>
      </c>
      <c r="AD2" s="97">
        <f>'Indirect vs Direct'!AC2</f>
        <v>3328</v>
      </c>
      <c r="AE2" s="97">
        <f>'Indirect vs Direct'!AD2</f>
        <v>268000</v>
      </c>
      <c r="AF2" s="97">
        <f>'Indirect vs Direct'!AE2</f>
        <v>121200</v>
      </c>
      <c r="AG2" s="97">
        <f>'Indirect vs Direct'!AF2</f>
        <v>524000</v>
      </c>
      <c r="AH2" s="97">
        <f>'Indirect vs Direct'!AG2</f>
        <v>3200</v>
      </c>
      <c r="AI2" s="97">
        <f>'Indirect vs Direct'!AH2</f>
        <v>300</v>
      </c>
      <c r="AJ2" s="97">
        <f>'Indirect vs Direct'!AI2</f>
        <v>143220</v>
      </c>
      <c r="AK2" s="97">
        <f>'Indirect vs Direct'!AJ2</f>
        <v>750000</v>
      </c>
      <c r="AL2" s="97">
        <f>'Indirect vs Direct'!AK2</f>
        <v>18500</v>
      </c>
      <c r="AM2" s="97">
        <f>'Indirect vs Direct'!AL2</f>
        <v>54000</v>
      </c>
      <c r="AN2" s="97">
        <f>'Indirect vs Direct'!AM2</f>
        <v>2850</v>
      </c>
      <c r="AO2" s="97">
        <f>'Indirect vs Direct'!AN2</f>
        <v>3225</v>
      </c>
      <c r="AP2" s="97">
        <f>'Indirect vs Direct'!AO2</f>
        <v>9800</v>
      </c>
      <c r="AQ2" s="97">
        <f>'Indirect vs Direct'!AP2</f>
        <v>27958</v>
      </c>
      <c r="AR2" s="97">
        <f>'Indirect vs Direct'!AQ2</f>
        <v>738038</v>
      </c>
      <c r="AS2" s="97">
        <f>'Indirect vs Direct'!AR2</f>
        <v>11000</v>
      </c>
      <c r="AT2" s="97">
        <f>'Indirect vs Direct'!AS2</f>
        <v>153395</v>
      </c>
      <c r="AU2" s="97">
        <f>'Indirect vs Direct'!AT2</f>
        <v>688202</v>
      </c>
      <c r="AV2" s="97">
        <f>'Indirect vs Direct'!AU2</f>
        <v>4000</v>
      </c>
      <c r="AW2" s="97">
        <f>'Indirect vs Direct'!AV2</f>
        <v>9200</v>
      </c>
      <c r="AX2" s="97">
        <f>'Indirect vs Direct'!AW2</f>
        <v>380489</v>
      </c>
      <c r="AY2" s="97">
        <f>'Indirect vs Direct'!AX2</f>
        <v>22000</v>
      </c>
      <c r="AZ2" s="97">
        <f>'Indirect vs Direct'!AY2</f>
        <v>474000</v>
      </c>
      <c r="BA2" s="97">
        <f>'Indirect vs Direct'!AZ2</f>
        <v>50000</v>
      </c>
      <c r="BB2" s="97">
        <f>'Indirect vs Direct'!BA2</f>
        <v>0</v>
      </c>
      <c r="BC2" s="97">
        <f>'Indirect vs Direct'!BB2</f>
        <v>50000</v>
      </c>
      <c r="BD2" s="97">
        <f>'Indirect vs Direct'!BC2</f>
        <v>50000</v>
      </c>
      <c r="BE2" s="97">
        <f>'Indirect vs Direct'!BD2</f>
        <v>750000</v>
      </c>
      <c r="BF2" s="97">
        <f>'Indirect vs Direct'!BE2</f>
        <v>750000</v>
      </c>
      <c r="BG2" s="97">
        <f>'Indirect vs Direct'!BF2</f>
        <v>4900</v>
      </c>
      <c r="BH2" s="97">
        <f>'Indirect vs Direct'!BG2</f>
        <v>6050</v>
      </c>
      <c r="BI2" s="97">
        <f>'Indirect vs Direct'!BH2</f>
        <v>5200</v>
      </c>
      <c r="BJ2" s="97">
        <f>'Indirect vs Direct'!BI2</f>
        <v>2750</v>
      </c>
      <c r="BK2" s="97">
        <f>'Indirect vs Direct'!BJ2</f>
        <v>3000</v>
      </c>
      <c r="BL2" s="97">
        <f>'Indirect vs Direct'!BK2</f>
        <v>117000</v>
      </c>
      <c r="BM2" s="97">
        <f>'Indirect vs Direct'!BL2</f>
        <v>12220</v>
      </c>
      <c r="BN2" s="97">
        <f>'Indirect vs Direct'!BM2</f>
        <v>4800</v>
      </c>
      <c r="BO2" s="97">
        <f>'Indirect vs Direct'!BN2</f>
        <v>8000</v>
      </c>
      <c r="BP2" s="97">
        <f>'Indirect vs Direct'!BO2</f>
        <v>928300</v>
      </c>
      <c r="BQ2" s="97">
        <f>'Indirect vs Direct'!BP2</f>
        <v>825000</v>
      </c>
      <c r="BR2" s="97">
        <f>'Indirect vs Direct'!BQ2</f>
        <v>800</v>
      </c>
      <c r="BS2" s="97">
        <f>'Indirect vs Direct'!BR2</f>
        <v>25792</v>
      </c>
      <c r="BT2" s="97">
        <f>'Indirect vs Direct'!BS2</f>
        <v>0</v>
      </c>
      <c r="BU2" s="97">
        <f>'Indirect vs Direct'!BT2</f>
        <v>320964</v>
      </c>
      <c r="BV2" s="97">
        <f>'Indirect vs Direct'!BU2</f>
        <v>10520</v>
      </c>
      <c r="BW2" s="97">
        <f>'Indirect vs Direct'!BV2</f>
        <v>15000</v>
      </c>
      <c r="BX2" s="97">
        <f>'Indirect vs Direct'!BW2</f>
        <v>8860</v>
      </c>
      <c r="BY2" s="97">
        <f>'Indirect vs Direct'!BX2</f>
        <v>7021</v>
      </c>
      <c r="BZ2" s="97">
        <f>'Indirect vs Direct'!BY2</f>
        <v>40000</v>
      </c>
      <c r="CA2" s="97">
        <f>'Indirect vs Direct'!BZ2</f>
        <v>5000</v>
      </c>
      <c r="CB2" s="97">
        <f>'Indirect vs Direct'!CA2</f>
        <v>3000</v>
      </c>
      <c r="CC2" s="97">
        <f>'Indirect vs Direct'!CB2</f>
        <v>15000</v>
      </c>
      <c r="CD2" s="97">
        <f>'Indirect vs Direct'!CC2</f>
        <v>154000</v>
      </c>
      <c r="CE2" s="97">
        <f>'Indirect vs Direct'!CD2</f>
        <v>245000</v>
      </c>
      <c r="CF2" s="97">
        <f>'Indirect vs Direct'!CE2</f>
        <v>3631</v>
      </c>
      <c r="CG2" s="97">
        <f>'Indirect vs Direct'!CF2</f>
        <v>38900</v>
      </c>
      <c r="CH2" s="97">
        <f>'Indirect vs Direct'!CG2</f>
        <v>11000</v>
      </c>
      <c r="CI2" s="97">
        <f>'Indirect vs Direct'!CH2</f>
        <v>33000</v>
      </c>
      <c r="CJ2" s="97">
        <f>'Indirect vs Direct'!CI2</f>
        <v>3000</v>
      </c>
      <c r="CK2" s="97">
        <f>'Indirect vs Direct'!CJ2</f>
        <v>1800</v>
      </c>
      <c r="CL2" s="97">
        <f>'Indirect vs Direct'!CK2</f>
        <v>20000</v>
      </c>
      <c r="CM2" s="97">
        <f>'Indirect vs Direct'!CL2</f>
        <v>6935</v>
      </c>
      <c r="DQ2" s="376"/>
    </row>
    <row r="3" spans="1:121" x14ac:dyDescent="0.25">
      <c r="A3" s="345"/>
      <c r="C3" s="97" t="str">
        <f>'Indirect vs Direct'!B3</f>
        <v>Plant Size Category</v>
      </c>
      <c r="D3" s="97" t="str">
        <f>'Indirect vs Direct'!C3</f>
        <v>Large</v>
      </c>
      <c r="E3" s="97" t="str">
        <f>'Indirect vs Direct'!D3</f>
        <v>Large</v>
      </c>
      <c r="F3" s="97" t="str">
        <f>'Indirect vs Direct'!E3</f>
        <v>Medium</v>
      </c>
      <c r="G3" s="97" t="str">
        <f>'Indirect vs Direct'!F3</f>
        <v>Large</v>
      </c>
      <c r="H3" s="97" t="str">
        <f>'Indirect vs Direct'!G3</f>
        <v>Small</v>
      </c>
      <c r="I3" s="97" t="str">
        <f>'Indirect vs Direct'!H3</f>
        <v>Large</v>
      </c>
      <c r="J3" s="97" t="str">
        <f>'Indirect vs Direct'!I3</f>
        <v>Small</v>
      </c>
      <c r="K3" s="97" t="str">
        <f>'Indirect vs Direct'!J3</f>
        <v>Medium</v>
      </c>
      <c r="L3" s="97" t="str">
        <f>'Indirect vs Direct'!K3</f>
        <v>Small</v>
      </c>
      <c r="M3" s="97" t="str">
        <f>'Indirect vs Direct'!L3</f>
        <v>Medium</v>
      </c>
      <c r="N3" s="97" t="str">
        <f>'Indirect vs Direct'!M3</f>
        <v>Small</v>
      </c>
      <c r="O3" s="97" t="str">
        <f>'Indirect vs Direct'!N3</f>
        <v>Medium</v>
      </c>
      <c r="P3" s="97" t="str">
        <f>'Indirect vs Direct'!O3</f>
        <v>Large</v>
      </c>
      <c r="Q3" s="97" t="str">
        <f>'Indirect vs Direct'!P3</f>
        <v>Large</v>
      </c>
      <c r="R3" s="97" t="str">
        <f>'Indirect vs Direct'!Q3</f>
        <v>Medium</v>
      </c>
      <c r="S3" s="97" t="str">
        <f>'Indirect vs Direct'!R3</f>
        <v>Small</v>
      </c>
      <c r="T3" s="97" t="str">
        <f>'Indirect vs Direct'!S3</f>
        <v>Medium</v>
      </c>
      <c r="U3" s="97" t="str">
        <f>'Indirect vs Direct'!T3</f>
        <v>Small</v>
      </c>
      <c r="V3" s="97" t="str">
        <f>'Indirect vs Direct'!U3</f>
        <v>Medium</v>
      </c>
      <c r="W3" s="97" t="str">
        <f>'Indirect vs Direct'!V3</f>
        <v>Medium</v>
      </c>
      <c r="X3" s="97" t="str">
        <f>'Indirect vs Direct'!W3</f>
        <v>Medium</v>
      </c>
      <c r="Y3" s="97" t="str">
        <f>'Indirect vs Direct'!X3</f>
        <v>Large</v>
      </c>
      <c r="Z3" s="97" t="str">
        <f>'Indirect vs Direct'!Y3</f>
        <v>Large</v>
      </c>
      <c r="AA3" s="97" t="str">
        <f>'Indirect vs Direct'!Z3</f>
        <v>Small</v>
      </c>
      <c r="AB3" s="97" t="str">
        <f>'Indirect vs Direct'!AA3</f>
        <v>Medium</v>
      </c>
      <c r="AC3" s="97" t="str">
        <f>'Indirect vs Direct'!AB3</f>
        <v>Small</v>
      </c>
      <c r="AD3" s="97" t="str">
        <f>'Indirect vs Direct'!AC3</f>
        <v>Small</v>
      </c>
      <c r="AE3" s="97" t="str">
        <f>'Indirect vs Direct'!AD3</f>
        <v>Large</v>
      </c>
      <c r="AF3" s="97" t="str">
        <f>'Indirect vs Direct'!AE3</f>
        <v>Large</v>
      </c>
      <c r="AG3" s="97" t="str">
        <f>'Indirect vs Direct'!AF3</f>
        <v>Large</v>
      </c>
      <c r="AH3" s="97" t="str">
        <f>'Indirect vs Direct'!AG3</f>
        <v>Small</v>
      </c>
      <c r="AI3" s="97" t="str">
        <f>'Indirect vs Direct'!AH3</f>
        <v>Small</v>
      </c>
      <c r="AJ3" s="97" t="str">
        <f>'Indirect vs Direct'!AI3</f>
        <v>Large</v>
      </c>
      <c r="AK3" s="97" t="str">
        <f>'Indirect vs Direct'!AJ3</f>
        <v>Large</v>
      </c>
      <c r="AL3" s="97" t="str">
        <f>'Indirect vs Direct'!AK3</f>
        <v>Medium</v>
      </c>
      <c r="AM3" s="97" t="str">
        <f>'Indirect vs Direct'!AL3</f>
        <v>Large</v>
      </c>
      <c r="AN3" s="97" t="str">
        <f>'Indirect vs Direct'!AM3</f>
        <v>Small</v>
      </c>
      <c r="AO3" s="97" t="str">
        <f>'Indirect vs Direct'!AN3</f>
        <v>Small</v>
      </c>
      <c r="AP3" s="97" t="str">
        <f>'Indirect vs Direct'!AO3</f>
        <v>Medium</v>
      </c>
      <c r="AQ3" s="97" t="str">
        <f>'Indirect vs Direct'!AP3</f>
        <v>Medium</v>
      </c>
      <c r="AR3" s="97" t="str">
        <f>'Indirect vs Direct'!AQ3</f>
        <v>Large</v>
      </c>
      <c r="AS3" s="97" t="str">
        <f>'Indirect vs Direct'!AR3</f>
        <v>Medium</v>
      </c>
      <c r="AT3" s="97" t="str">
        <f>'Indirect vs Direct'!AS3</f>
        <v>Large</v>
      </c>
      <c r="AU3" s="97" t="str">
        <f>'Indirect vs Direct'!AT3</f>
        <v>Large</v>
      </c>
      <c r="AV3" s="97" t="str">
        <f>'Indirect vs Direct'!AU3</f>
        <v>Small</v>
      </c>
      <c r="AW3" s="97" t="str">
        <f>'Indirect vs Direct'!AV3</f>
        <v>Medium</v>
      </c>
      <c r="AX3" s="97" t="str">
        <f>'Indirect vs Direct'!AW3</f>
        <v>Large</v>
      </c>
      <c r="AY3" s="97" t="str">
        <f>'Indirect vs Direct'!AX3</f>
        <v>Medium</v>
      </c>
      <c r="AZ3" s="97" t="str">
        <f>'Indirect vs Direct'!AY3</f>
        <v>Large</v>
      </c>
      <c r="BA3" s="97" t="str">
        <f>'Indirect vs Direct'!AZ3</f>
        <v>Large</v>
      </c>
      <c r="BB3" s="97" t="str">
        <f>'Indirect vs Direct'!BA3</f>
        <v/>
      </c>
      <c r="BC3" s="97" t="str">
        <f>'Indirect vs Direct'!BB3</f>
        <v>Large</v>
      </c>
      <c r="BD3" s="97" t="str">
        <f>'Indirect vs Direct'!BC3</f>
        <v>Large</v>
      </c>
      <c r="BE3" s="97" t="str">
        <f>'Indirect vs Direct'!BD3</f>
        <v>Large</v>
      </c>
      <c r="BF3" s="97" t="str">
        <f>'Indirect vs Direct'!BE3</f>
        <v>Large</v>
      </c>
      <c r="BG3" s="97" t="str">
        <f>'Indirect vs Direct'!BF3</f>
        <v>Small</v>
      </c>
      <c r="BH3" s="97" t="str">
        <f>'Indirect vs Direct'!BG3</f>
        <v>Medium</v>
      </c>
      <c r="BI3" s="97" t="str">
        <f>'Indirect vs Direct'!BH3</f>
        <v>Medium</v>
      </c>
      <c r="BJ3" s="97" t="str">
        <f>'Indirect vs Direct'!BI3</f>
        <v>Small</v>
      </c>
      <c r="BK3" s="97" t="str">
        <f>'Indirect vs Direct'!BJ3</f>
        <v>Small</v>
      </c>
      <c r="BL3" s="97" t="str">
        <f>'Indirect vs Direct'!BK3</f>
        <v>Large</v>
      </c>
      <c r="BM3" s="97" t="str">
        <f>'Indirect vs Direct'!BL3</f>
        <v>Medium</v>
      </c>
      <c r="BN3" s="97" t="str">
        <f>'Indirect vs Direct'!BM3</f>
        <v>Small</v>
      </c>
      <c r="BO3" s="97" t="str">
        <f>'Indirect vs Direct'!BN3</f>
        <v>Medium</v>
      </c>
      <c r="BP3" s="97" t="str">
        <f>'Indirect vs Direct'!BO3</f>
        <v>Large</v>
      </c>
      <c r="BQ3" s="97" t="str">
        <f>'Indirect vs Direct'!BP3</f>
        <v>Large</v>
      </c>
      <c r="BR3" s="97" t="str">
        <f>'Indirect vs Direct'!BQ3</f>
        <v>Small</v>
      </c>
      <c r="BS3" s="97" t="str">
        <f>'Indirect vs Direct'!BR3</f>
        <v>Medium</v>
      </c>
      <c r="BT3" s="97" t="str">
        <f>'Indirect vs Direct'!BS3</f>
        <v/>
      </c>
      <c r="BU3" s="97" t="str">
        <f>'Indirect vs Direct'!BT3</f>
        <v>Large</v>
      </c>
      <c r="BV3" s="97" t="str">
        <f>'Indirect vs Direct'!BU3</f>
        <v>Medium</v>
      </c>
      <c r="BW3" s="97" t="str">
        <f>'Indirect vs Direct'!BV3</f>
        <v>Medium</v>
      </c>
      <c r="BX3" s="97" t="str">
        <f>'Indirect vs Direct'!BW3</f>
        <v>Medium</v>
      </c>
      <c r="BY3" s="97" t="str">
        <f>'Indirect vs Direct'!BX3</f>
        <v>Medium</v>
      </c>
      <c r="BZ3" s="97" t="str">
        <f>'Indirect vs Direct'!BY3</f>
        <v>Large</v>
      </c>
      <c r="CA3" s="97" t="str">
        <f>'Indirect vs Direct'!BZ3</f>
        <v>Small</v>
      </c>
      <c r="CB3" s="97" t="str">
        <f>'Indirect vs Direct'!CA3</f>
        <v>Small</v>
      </c>
      <c r="CC3" s="97" t="str">
        <f>'Indirect vs Direct'!CB3</f>
        <v>Medium</v>
      </c>
      <c r="CD3" s="97" t="str">
        <f>'Indirect vs Direct'!CC3</f>
        <v>Large</v>
      </c>
      <c r="CE3" s="97" t="str">
        <f>'Indirect vs Direct'!CD3</f>
        <v>Large</v>
      </c>
      <c r="CF3" s="97" t="str">
        <f>'Indirect vs Direct'!CE3</f>
        <v>Small</v>
      </c>
      <c r="CG3" s="97" t="str">
        <f>'Indirect vs Direct'!CF3</f>
        <v>Large</v>
      </c>
      <c r="CH3" s="97" t="str">
        <f>'Indirect vs Direct'!CG3</f>
        <v>Medium</v>
      </c>
      <c r="CI3" s="97" t="str">
        <f>'Indirect vs Direct'!CH3</f>
        <v>Large</v>
      </c>
      <c r="CJ3" s="97" t="str">
        <f>'Indirect vs Direct'!CI3</f>
        <v>Small</v>
      </c>
      <c r="CK3" s="97" t="str">
        <f>'Indirect vs Direct'!CJ3</f>
        <v>Small</v>
      </c>
      <c r="CL3" s="97" t="str">
        <f>'Indirect vs Direct'!CK3</f>
        <v>Medium</v>
      </c>
      <c r="CM3" s="97" t="str">
        <f>'Indirect vs Direct'!CL3</f>
        <v>Medium</v>
      </c>
      <c r="DQ3" s="376"/>
    </row>
    <row r="4" spans="1:121" x14ac:dyDescent="0.25">
      <c r="A4" s="345"/>
      <c r="C4" s="97" t="str">
        <f>'Indirect vs Direct'!B4</f>
        <v>Collection Type</v>
      </c>
      <c r="D4" s="97" t="str">
        <f>'Indirect vs Direct'!C4</f>
        <v>N60</v>
      </c>
      <c r="E4" s="97" t="str">
        <f>'Indirect vs Direct'!D4</f>
        <v>N60</v>
      </c>
      <c r="F4" s="97" t="str">
        <f>'Indirect vs Direct'!E4</f>
        <v>N60</v>
      </c>
      <c r="G4" s="97" t="str">
        <f>'Indirect vs Direct'!F4</f>
        <v>N60</v>
      </c>
      <c r="H4" s="97" t="str">
        <f>'Indirect vs Direct'!G4</f>
        <v>N60</v>
      </c>
      <c r="I4" s="97" t="str">
        <f>'Indirect vs Direct'!H4</f>
        <v>N60</v>
      </c>
      <c r="J4" s="97" t="str">
        <f>'Indirect vs Direct'!I4</f>
        <v>N60</v>
      </c>
      <c r="K4" s="97" t="str">
        <f>'Indirect vs Direct'!J4</f>
        <v>N60</v>
      </c>
      <c r="L4" s="97" t="str">
        <f>'Indirect vs Direct'!K4</f>
        <v>N60</v>
      </c>
      <c r="M4" s="97" t="str">
        <f>'Indirect vs Direct'!L4</f>
        <v>N60</v>
      </c>
      <c r="N4" s="97" t="str">
        <f>'Indirect vs Direct'!M4</f>
        <v>N60</v>
      </c>
      <c r="O4" s="97" t="str">
        <f>'Indirect vs Direct'!N4</f>
        <v>2lb Grab</v>
      </c>
      <c r="P4" s="97" t="str">
        <f>'Indirect vs Direct'!O4</f>
        <v>N60</v>
      </c>
      <c r="Q4" s="97" t="str">
        <f>'Indirect vs Direct'!P4</f>
        <v>N60</v>
      </c>
      <c r="R4" s="97" t="str">
        <f>'Indirect vs Direct'!Q4</f>
        <v>N60</v>
      </c>
      <c r="S4" s="97" t="str">
        <f>'Indirect vs Direct'!R4</f>
        <v>N60</v>
      </c>
      <c r="T4" s="97" t="str">
        <f>'Indirect vs Direct'!S4</f>
        <v>2lb Grab</v>
      </c>
      <c r="U4" s="97" t="str">
        <f>'Indirect vs Direct'!T4</f>
        <v>N60</v>
      </c>
      <c r="V4" s="97" t="str">
        <f>'Indirect vs Direct'!U4</f>
        <v>N60</v>
      </c>
      <c r="W4" s="97" t="str">
        <f>'Indirect vs Direct'!V4</f>
        <v>N60</v>
      </c>
      <c r="X4" s="97" t="str">
        <f>'Indirect vs Direct'!W4</f>
        <v>N60</v>
      </c>
      <c r="Y4" s="97" t="str">
        <f>'Indirect vs Direct'!X4</f>
        <v>N60</v>
      </c>
      <c r="Z4" s="97" t="str">
        <f>'Indirect vs Direct'!Y4</f>
        <v>N60</v>
      </c>
      <c r="AA4" s="97" t="str">
        <f>'Indirect vs Direct'!Z4</f>
        <v>2lb Grab</v>
      </c>
      <c r="AB4" s="97" t="str">
        <f>'Indirect vs Direct'!AA4</f>
        <v>N60</v>
      </c>
      <c r="AC4" s="97" t="str">
        <f>'Indirect vs Direct'!AB4</f>
        <v>N60</v>
      </c>
      <c r="AD4" s="97" t="str">
        <f>'Indirect vs Direct'!AC4</f>
        <v>N60</v>
      </c>
      <c r="AE4" s="97" t="str">
        <f>'Indirect vs Direct'!AD4</f>
        <v>N60</v>
      </c>
      <c r="AF4" s="97" t="str">
        <f>'Indirect vs Direct'!AE4</f>
        <v>N60</v>
      </c>
      <c r="AG4" s="97" t="str">
        <f>'Indirect vs Direct'!AF4</f>
        <v>N60</v>
      </c>
      <c r="AH4" s="97" t="str">
        <f>'Indirect vs Direct'!AG4</f>
        <v>2lb Grab</v>
      </c>
      <c r="AI4" s="97" t="str">
        <f>'Indirect vs Direct'!AH4</f>
        <v>N60</v>
      </c>
      <c r="AJ4" s="97" t="str">
        <f>'Indirect vs Direct'!AI4</f>
        <v>N60</v>
      </c>
      <c r="AK4" s="97" t="str">
        <f>'Indirect vs Direct'!AJ4</f>
        <v>N60</v>
      </c>
      <c r="AL4" s="97" t="str">
        <f>'Indirect vs Direct'!AK4</f>
        <v>N60</v>
      </c>
      <c r="AM4" s="97" t="str">
        <f>'Indirect vs Direct'!AL4</f>
        <v>N60</v>
      </c>
      <c r="AN4" s="97" t="str">
        <f>'Indirect vs Direct'!AM4</f>
        <v>N60</v>
      </c>
      <c r="AO4" s="97" t="str">
        <f>'Indirect vs Direct'!AN4</f>
        <v>N60</v>
      </c>
      <c r="AP4" s="97" t="str">
        <f>'Indirect vs Direct'!AO4</f>
        <v>N60</v>
      </c>
      <c r="AQ4" s="97" t="str">
        <f>'Indirect vs Direct'!AP4</f>
        <v>N60</v>
      </c>
      <c r="AR4" s="97" t="str">
        <f>'Indirect vs Direct'!AQ4</f>
        <v>N60</v>
      </c>
      <c r="AS4" s="97" t="str">
        <f>'Indirect vs Direct'!AR4</f>
        <v>N60</v>
      </c>
      <c r="AT4" s="97" t="str">
        <f>'Indirect vs Direct'!AS4</f>
        <v>N60</v>
      </c>
      <c r="AU4" s="97" t="str">
        <f>'Indirect vs Direct'!AT4</f>
        <v>N60</v>
      </c>
      <c r="AV4" s="97" t="str">
        <f>'Indirect vs Direct'!AU4</f>
        <v>N60</v>
      </c>
      <c r="AW4" s="97" t="str">
        <f>'Indirect vs Direct'!AV4</f>
        <v>N60</v>
      </c>
      <c r="AX4" s="97" t="str">
        <f>'Indirect vs Direct'!AW4</f>
        <v>N60</v>
      </c>
      <c r="AY4" s="97" t="str">
        <f>'Indirect vs Direct'!AX4</f>
        <v>N60</v>
      </c>
      <c r="AZ4" s="97" t="str">
        <f>'Indirect vs Direct'!AY4</f>
        <v>N60</v>
      </c>
      <c r="BA4" s="97" t="str">
        <f>'Indirect vs Direct'!AZ4</f>
        <v>N60</v>
      </c>
      <c r="BB4" s="97" t="str">
        <f>'Indirect vs Direct'!BA4</f>
        <v>N60</v>
      </c>
      <c r="BC4" s="97" t="str">
        <f>'Indirect vs Direct'!BB4</f>
        <v>N60</v>
      </c>
      <c r="BD4" s="97" t="str">
        <f>'Indirect vs Direct'!BC4</f>
        <v>N60</v>
      </c>
      <c r="BE4" s="97" t="str">
        <f>'Indirect vs Direct'!BD4</f>
        <v>N60</v>
      </c>
      <c r="BF4" s="97" t="str">
        <f>'Indirect vs Direct'!BE4</f>
        <v>N60</v>
      </c>
      <c r="BG4" s="97" t="str">
        <f>'Indirect vs Direct'!BF4</f>
        <v>N60</v>
      </c>
      <c r="BH4" s="97" t="str">
        <f>'Indirect vs Direct'!BG4</f>
        <v>N60</v>
      </c>
      <c r="BI4" s="97" t="str">
        <f>'Indirect vs Direct'!BH4</f>
        <v>N60</v>
      </c>
      <c r="BJ4" s="97" t="str">
        <f>'Indirect vs Direct'!BI4</f>
        <v>N60</v>
      </c>
      <c r="BK4" s="97" t="str">
        <f>'Indirect vs Direct'!BJ4</f>
        <v>2lb Grab</v>
      </c>
      <c r="BL4" s="97" t="str">
        <f>'Indirect vs Direct'!BK4</f>
        <v>N60</v>
      </c>
      <c r="BM4" s="97" t="str">
        <f>'Indirect vs Direct'!BL4</f>
        <v>N60</v>
      </c>
      <c r="BN4" s="97" t="str">
        <f>'Indirect vs Direct'!BM4</f>
        <v>N60</v>
      </c>
      <c r="BO4" s="97" t="str">
        <f>'Indirect vs Direct'!BN4</f>
        <v>N60</v>
      </c>
      <c r="BP4" s="97" t="str">
        <f>'Indirect vs Direct'!BO4</f>
        <v>N60</v>
      </c>
      <c r="BQ4" s="97" t="str">
        <f>'Indirect vs Direct'!BP4</f>
        <v>N60</v>
      </c>
      <c r="BR4" s="97" t="str">
        <f>'Indirect vs Direct'!BQ4</f>
        <v>N60</v>
      </c>
      <c r="BS4" s="97" t="str">
        <f>'Indirect vs Direct'!BR4</f>
        <v>N60</v>
      </c>
      <c r="BT4" s="97" t="str">
        <f>'Indirect vs Direct'!BS4</f>
        <v>N60</v>
      </c>
      <c r="BU4" s="97" t="str">
        <f>'Indirect vs Direct'!BT4</f>
        <v>N60</v>
      </c>
      <c r="BV4" s="97" t="str">
        <f>'Indirect vs Direct'!BU4</f>
        <v>N60</v>
      </c>
      <c r="BW4" s="97" t="str">
        <f>'Indirect vs Direct'!BV4</f>
        <v>N60</v>
      </c>
      <c r="BX4" s="97" t="str">
        <f>'Indirect vs Direct'!BW4</f>
        <v>2lb Grab</v>
      </c>
      <c r="BY4" s="97" t="str">
        <f>'Indirect vs Direct'!BX4</f>
        <v>2lb Grab</v>
      </c>
      <c r="BZ4" s="97" t="str">
        <f>'Indirect vs Direct'!BY4</f>
        <v>N60</v>
      </c>
      <c r="CA4" s="97" t="str">
        <f>'Indirect vs Direct'!BZ4</f>
        <v>2lb Grab</v>
      </c>
      <c r="CB4" s="97" t="str">
        <f>'Indirect vs Direct'!CA4</f>
        <v>N60</v>
      </c>
      <c r="CC4" s="97" t="str">
        <f>'Indirect vs Direct'!CB4</f>
        <v>N60</v>
      </c>
      <c r="CD4" s="97" t="str">
        <f>'Indirect vs Direct'!CC4</f>
        <v>N60</v>
      </c>
      <c r="CE4" s="97" t="str">
        <f>'Indirect vs Direct'!CD4</f>
        <v>N60</v>
      </c>
      <c r="CF4" s="97" t="str">
        <f>'Indirect vs Direct'!CE4</f>
        <v>2lb Grab</v>
      </c>
      <c r="CG4" s="97" t="str">
        <f>'Indirect vs Direct'!CF4</f>
        <v>N60</v>
      </c>
      <c r="CH4" s="97" t="str">
        <f>'Indirect vs Direct'!CG4</f>
        <v>N60</v>
      </c>
      <c r="CI4" s="97" t="str">
        <f>'Indirect vs Direct'!CH4</f>
        <v>N60</v>
      </c>
      <c r="CJ4" s="97" t="str">
        <f>'Indirect vs Direct'!CI4</f>
        <v>N60</v>
      </c>
      <c r="CK4" s="97" t="str">
        <f>'Indirect vs Direct'!CJ4</f>
        <v>N60</v>
      </c>
      <c r="CL4" s="97" t="str">
        <f>'Indirect vs Direct'!CK4</f>
        <v>N60</v>
      </c>
      <c r="CM4" s="97" t="str">
        <f>'Indirect vs Direct'!CL4</f>
        <v>N60</v>
      </c>
      <c r="DQ4" s="376"/>
    </row>
    <row r="5" spans="1:121" x14ac:dyDescent="0.25">
      <c r="A5" s="345"/>
      <c r="C5" s="97" t="str">
        <f>'Indirect vs Direct'!B5</f>
        <v>Direct (Minutes)</v>
      </c>
      <c r="D5" s="9">
        <f>'Indirect vs Direct'!C5</f>
        <v>40.016666666666666</v>
      </c>
      <c r="E5" s="9">
        <f>'Indirect vs Direct'!D5</f>
        <v>38.899000000000008</v>
      </c>
      <c r="F5" s="9">
        <f>'Indirect vs Direct'!E5</f>
        <v>32.733333333333334</v>
      </c>
      <c r="G5" s="9">
        <f>'Indirect vs Direct'!F5</f>
        <v>26.717999999999993</v>
      </c>
      <c r="H5" s="9">
        <f>'Indirect vs Direct'!G5</f>
        <v>25.465999999999998</v>
      </c>
      <c r="I5" s="9">
        <f>'Indirect vs Direct'!H5</f>
        <v>24.65</v>
      </c>
      <c r="J5" s="9">
        <f>'Indirect vs Direct'!I5</f>
        <v>57.766666666666666</v>
      </c>
      <c r="K5" s="9">
        <f>'Indirect vs Direct'!J5</f>
        <v>44.332999999999998</v>
      </c>
      <c r="L5" s="9">
        <f>'Indirect vs Direct'!K5</f>
        <v>29.419</v>
      </c>
      <c r="M5" s="9">
        <f>'Indirect vs Direct'!L5</f>
        <v>41.783000000000001</v>
      </c>
      <c r="N5" s="9">
        <f>'Indirect vs Direct'!M5</f>
        <v>36.5837</v>
      </c>
      <c r="O5" s="9">
        <f>'Indirect vs Direct'!N5</f>
        <v>24.417000000000002</v>
      </c>
      <c r="P5" s="9">
        <f>'Indirect vs Direct'!O5</f>
        <v>42.265999999999998</v>
      </c>
      <c r="Q5" s="9">
        <f>'Indirect vs Direct'!P5</f>
        <v>48.048999999999992</v>
      </c>
      <c r="R5" s="9">
        <f>'Indirect vs Direct'!Q5</f>
        <v>15.75</v>
      </c>
      <c r="S5" s="9">
        <f>'Indirect vs Direct'!R5</f>
        <v>19.420999999999999</v>
      </c>
      <c r="T5" s="9">
        <f>'Indirect vs Direct'!S5</f>
        <v>35.667000000000002</v>
      </c>
      <c r="U5" s="9">
        <f>'Indirect vs Direct'!T5</f>
        <v>40.149700000000003</v>
      </c>
      <c r="V5" s="9">
        <f>'Indirect vs Direct'!U5</f>
        <v>62.499000000000009</v>
      </c>
      <c r="W5" s="9">
        <f>'Indirect vs Direct'!V5</f>
        <v>31.766300000000001</v>
      </c>
      <c r="X5" s="9">
        <f>'Indirect vs Direct'!W5</f>
        <v>32.850300000000004</v>
      </c>
      <c r="Y5" s="9">
        <f>'Indirect vs Direct'!X5</f>
        <v>51.498699999999999</v>
      </c>
      <c r="Z5" s="9">
        <f>'Indirect vs Direct'!Y5</f>
        <v>27.980000000000004</v>
      </c>
      <c r="AA5" s="9">
        <f>'Indirect vs Direct'!Z5</f>
        <v>15.433</v>
      </c>
      <c r="AB5" s="9">
        <f>'Indirect vs Direct'!AA5</f>
        <v>53.549700000000001</v>
      </c>
      <c r="AC5" s="9">
        <f>'Indirect vs Direct'!AB5</f>
        <v>27.739000000000001</v>
      </c>
      <c r="AD5" s="9">
        <f>'Indirect vs Direct'!AC5</f>
        <v>23.023300000000003</v>
      </c>
      <c r="AE5" s="9">
        <f>'Indirect vs Direct'!AD5</f>
        <v>43.187000000000005</v>
      </c>
      <c r="AF5" s="9">
        <f>'Indirect vs Direct'!AE5</f>
        <v>41.3504</v>
      </c>
      <c r="AG5" s="9">
        <f>'Indirect vs Direct'!AF5</f>
        <v>28.849000000000004</v>
      </c>
      <c r="AH5" s="9">
        <f>'Indirect vs Direct'!AG5</f>
        <v>29.700000000000003</v>
      </c>
      <c r="AI5" s="9">
        <f>'Indirect vs Direct'!AH5</f>
        <v>43.500700000000002</v>
      </c>
      <c r="AJ5" s="9">
        <f>'Indirect vs Direct'!AI5</f>
        <v>41.670999999999999</v>
      </c>
      <c r="AK5" s="9">
        <f>'Indirect vs Direct'!AJ5</f>
        <v>35.482999999999997</v>
      </c>
      <c r="AL5" s="9">
        <f>'Indirect vs Direct'!AK5</f>
        <v>52.750999999999998</v>
      </c>
      <c r="AM5" s="9">
        <f>'Indirect vs Direct'!AL5</f>
        <v>36.750000000000007</v>
      </c>
      <c r="AN5" s="9">
        <f>'Indirect vs Direct'!AM5</f>
        <v>39.349999999999994</v>
      </c>
      <c r="AO5" s="9">
        <f>'Indirect vs Direct'!AN5</f>
        <v>40.414999999999999</v>
      </c>
      <c r="AP5" s="9">
        <f>'Indirect vs Direct'!AO5</f>
        <v>33.766000000000005</v>
      </c>
      <c r="AQ5" s="9">
        <f>'Indirect vs Direct'!AP5</f>
        <v>22.016399999999997</v>
      </c>
      <c r="AR5" s="9">
        <f>'Indirect vs Direct'!AQ5</f>
        <v>30.051000000000002</v>
      </c>
      <c r="AS5" s="9">
        <f>'Indirect vs Direct'!AR5</f>
        <v>59.820500000000003</v>
      </c>
      <c r="AT5" s="9">
        <f>'Indirect vs Direct'!AS5</f>
        <v>38.116999999999997</v>
      </c>
      <c r="AU5" s="9">
        <f>'Indirect vs Direct'!AT5</f>
        <v>32.9</v>
      </c>
      <c r="AV5" s="9">
        <f>'Indirect vs Direct'!AU5</f>
        <v>20.515999999999998</v>
      </c>
      <c r="AW5" s="9">
        <f>'Indirect vs Direct'!AV5</f>
        <v>51.100299999999997</v>
      </c>
      <c r="AX5" s="9">
        <f>'Indirect vs Direct'!AW5</f>
        <v>61.084000000000003</v>
      </c>
      <c r="AY5" s="9">
        <f>'Indirect vs Direct'!AX5</f>
        <v>26.166</v>
      </c>
      <c r="AZ5" s="9">
        <f>'Indirect vs Direct'!AY5</f>
        <v>46.199700000000007</v>
      </c>
      <c r="BA5" s="9">
        <f>'Indirect vs Direct'!AZ5</f>
        <v>57.5336</v>
      </c>
      <c r="BB5" s="9">
        <f>'Indirect vs Direct'!BA5</f>
        <v>20.882999999999999</v>
      </c>
      <c r="BC5" s="9">
        <f>'Indirect vs Direct'!BB5</f>
        <v>42.416000000000004</v>
      </c>
      <c r="BD5" s="9">
        <f>'Indirect vs Direct'!BC5</f>
        <v>41.515999999999998</v>
      </c>
      <c r="BE5" s="9">
        <f>'Indirect vs Direct'!BD5</f>
        <v>29.432299999999998</v>
      </c>
      <c r="BF5" s="9">
        <f>'Indirect vs Direct'!BE5</f>
        <v>29.467000000000002</v>
      </c>
      <c r="BG5" s="9">
        <f>'Indirect vs Direct'!BF5</f>
        <v>34.645199999999996</v>
      </c>
      <c r="BH5" s="9">
        <f>'Indirect vs Direct'!BG5</f>
        <v>36.266299999999994</v>
      </c>
      <c r="BI5" s="9">
        <f>'Indirect vs Direct'!BH5</f>
        <v>19.541999999999998</v>
      </c>
      <c r="BJ5" s="9">
        <f>'Indirect vs Direct'!BI5</f>
        <v>25.966999999999999</v>
      </c>
      <c r="BK5" s="9">
        <f>'Indirect vs Direct'!BJ5</f>
        <v>13.1</v>
      </c>
      <c r="BL5" s="9">
        <f>'Indirect vs Direct'!BK5</f>
        <v>37.509300000000003</v>
      </c>
      <c r="BM5" s="9">
        <f>'Indirect vs Direct'!BL5</f>
        <v>19.549299999999999</v>
      </c>
      <c r="BN5" s="9">
        <f>'Indirect vs Direct'!BM5</f>
        <v>31.0717</v>
      </c>
      <c r="BO5" s="9">
        <f>'Indirect vs Direct'!BN5</f>
        <v>28.6493</v>
      </c>
      <c r="BP5" s="9">
        <f>'Indirect vs Direct'!BO5</f>
        <v>60.104999999999997</v>
      </c>
      <c r="BQ5" s="9">
        <f>'Indirect vs Direct'!BP5</f>
        <v>21.351000000000003</v>
      </c>
      <c r="BR5" s="9">
        <f>'Indirect vs Direct'!BQ5</f>
        <v>33.483700000000006</v>
      </c>
      <c r="BS5" s="9">
        <f>'Indirect vs Direct'!BR5</f>
        <v>46.535999999999994</v>
      </c>
      <c r="BT5" s="9">
        <f>'Indirect vs Direct'!BS5</f>
        <v>46.982999999999997</v>
      </c>
      <c r="BU5" s="9">
        <f>'Indirect vs Direct'!BT5</f>
        <v>64.816300000000012</v>
      </c>
      <c r="BV5" s="9">
        <f>'Indirect vs Direct'!BU5</f>
        <v>45.216999999999999</v>
      </c>
      <c r="BW5" s="9">
        <f>'Indirect vs Direct'!BV5</f>
        <v>46.216999999999992</v>
      </c>
      <c r="BX5" s="9">
        <f>'Indirect vs Direct'!BW5</f>
        <v>15.716700000000001</v>
      </c>
      <c r="BY5" s="9">
        <f>'Indirect vs Direct'!BX5</f>
        <v>8.3333000000000013</v>
      </c>
      <c r="BZ5" s="9">
        <f>'Indirect vs Direct'!BY5</f>
        <v>32.732700000000001</v>
      </c>
      <c r="CA5" s="9">
        <f>'Indirect vs Direct'!BZ5</f>
        <v>6.2006999999999994</v>
      </c>
      <c r="CB5" s="9">
        <f>'Indirect vs Direct'!CA5</f>
        <v>48.466999999999999</v>
      </c>
      <c r="CC5" s="9">
        <f>'Indirect vs Direct'!CB5</f>
        <v>39.884000000000007</v>
      </c>
      <c r="CD5" s="9">
        <f>'Indirect vs Direct'!CC5</f>
        <v>39.701999999999998</v>
      </c>
      <c r="CE5" s="9">
        <f>'Indirect vs Direct'!CD5</f>
        <v>8.85</v>
      </c>
      <c r="CF5" s="9">
        <f>'Indirect vs Direct'!CE5</f>
        <v>18.533000000000001</v>
      </c>
      <c r="CG5" s="9">
        <f>'Indirect vs Direct'!CF5</f>
        <v>48.633299999999998</v>
      </c>
      <c r="CH5" s="9">
        <f>'Indirect vs Direct'!CG5</f>
        <v>27.3</v>
      </c>
      <c r="CI5" s="9">
        <f>'Indirect vs Direct'!CH5</f>
        <v>63</v>
      </c>
      <c r="CJ5" s="9">
        <f>'Indirect vs Direct'!CI5</f>
        <v>30.383000000000003</v>
      </c>
      <c r="CK5" s="9">
        <f>'Indirect vs Direct'!CJ5</f>
        <v>52.516999999999996</v>
      </c>
      <c r="CL5" s="9">
        <f>'Indirect vs Direct'!CK5</f>
        <v>67.398499999999999</v>
      </c>
      <c r="CM5" s="9">
        <f>'Indirect vs Direct'!CL5</f>
        <v>33.482999999999997</v>
      </c>
      <c r="DQ5" s="376"/>
    </row>
    <row r="6" spans="1:121" x14ac:dyDescent="0.25">
      <c r="A6" s="345"/>
      <c r="C6" s="97" t="str">
        <f>'Indirect vs Direct'!B6</f>
        <v>Indirect (Minutes)</v>
      </c>
      <c r="D6" s="9">
        <f>'Indirect vs Direct'!C6</f>
        <v>21.25</v>
      </c>
      <c r="E6" s="9">
        <f>'Indirect vs Direct'!D6</f>
        <v>17.266999999999996</v>
      </c>
      <c r="F6" s="9">
        <f>'Indirect vs Direct'!E6</f>
        <v>37.800000000000004</v>
      </c>
      <c r="G6" s="9">
        <f>'Indirect vs Direct'!F6</f>
        <v>22.699999999999996</v>
      </c>
      <c r="H6" s="9">
        <f>'Indirect vs Direct'!G6</f>
        <v>17.683</v>
      </c>
      <c r="I6" s="9">
        <f>'Indirect vs Direct'!H6</f>
        <v>21.816666666666666</v>
      </c>
      <c r="J6" s="9">
        <f>'Indirect vs Direct'!I6</f>
        <v>17.95</v>
      </c>
      <c r="K6" s="9">
        <f>'Indirect vs Direct'!J6</f>
        <v>29.099999999999998</v>
      </c>
      <c r="L6" s="9">
        <f>'Indirect vs Direct'!K6</f>
        <v>18.364799999999999</v>
      </c>
      <c r="M6" s="9">
        <f>'Indirect vs Direct'!L6</f>
        <v>38.783000000000001</v>
      </c>
      <c r="N6" s="9">
        <f>'Indirect vs Direct'!M6</f>
        <v>27.867000000000001</v>
      </c>
      <c r="O6" s="9">
        <f>'Indirect vs Direct'!N6</f>
        <v>27.299999999999997</v>
      </c>
      <c r="P6" s="9">
        <f>'Indirect vs Direct'!O6</f>
        <v>12.533999999999999</v>
      </c>
      <c r="Q6" s="9">
        <f>'Indirect vs Direct'!P6</f>
        <v>28.850999999999999</v>
      </c>
      <c r="R6" s="9">
        <f>'Indirect vs Direct'!Q6</f>
        <v>19.249299999999998</v>
      </c>
      <c r="S6" s="9">
        <f>'Indirect vs Direct'!R6</f>
        <v>14.064499999999999</v>
      </c>
      <c r="T6" s="9">
        <f>'Indirect vs Direct'!S6</f>
        <v>26.050999999999998</v>
      </c>
      <c r="U6" s="9">
        <f>'Indirect vs Direct'!T6</f>
        <v>27.166999999999998</v>
      </c>
      <c r="V6" s="9">
        <f>'Indirect vs Direct'!U6</f>
        <v>35.849999999999994</v>
      </c>
      <c r="W6" s="9">
        <f>'Indirect vs Direct'!V6</f>
        <v>14.600000000000001</v>
      </c>
      <c r="X6" s="9">
        <f>'Indirect vs Direct'!W6</f>
        <v>21.95</v>
      </c>
      <c r="Y6" s="9">
        <f>'Indirect vs Direct'!X6</f>
        <v>18.533000000000001</v>
      </c>
      <c r="Z6" s="9">
        <f>'Indirect vs Direct'!Y6</f>
        <v>16.400000000000002</v>
      </c>
      <c r="AA6" s="9">
        <f>'Indirect vs Direct'!Z6</f>
        <v>31.1</v>
      </c>
      <c r="AB6" s="9">
        <f>'Indirect vs Direct'!AA6</f>
        <v>16.967300000000002</v>
      </c>
      <c r="AC6" s="9">
        <f>'Indirect vs Direct'!AB6</f>
        <v>13.353499999999999</v>
      </c>
      <c r="AD6" s="9">
        <f>'Indirect vs Direct'!AC6</f>
        <v>13.178000000000001</v>
      </c>
      <c r="AE6" s="9">
        <f>'Indirect vs Direct'!AD6</f>
        <v>20.265999999999998</v>
      </c>
      <c r="AF6" s="9">
        <f>'Indirect vs Direct'!AE6</f>
        <v>16.150300000000001</v>
      </c>
      <c r="AG6" s="9">
        <f>'Indirect vs Direct'!AF6</f>
        <v>28.183299999999999</v>
      </c>
      <c r="AH6" s="9">
        <f>'Indirect vs Direct'!AG6</f>
        <v>20.2163</v>
      </c>
      <c r="AI6" s="9">
        <f>'Indirect vs Direct'!AH6</f>
        <v>21.300000000000004</v>
      </c>
      <c r="AJ6" s="9">
        <f>'Indirect vs Direct'!AI6</f>
        <v>23.132999999999999</v>
      </c>
      <c r="AK6" s="9">
        <f>'Indirect vs Direct'!AJ6</f>
        <v>29.082999999999998</v>
      </c>
      <c r="AL6" s="9">
        <f>'Indirect vs Direct'!AK6</f>
        <v>27.716999999999999</v>
      </c>
      <c r="AM6" s="9">
        <f>'Indirect vs Direct'!AL6</f>
        <v>12.149999999999999</v>
      </c>
      <c r="AN6" s="9">
        <f>'Indirect vs Direct'!AM6</f>
        <v>31.971999999999998</v>
      </c>
      <c r="AO6" s="9">
        <f>'Indirect vs Direct'!AN6</f>
        <v>30.716300000000004</v>
      </c>
      <c r="AP6" s="9">
        <f>'Indirect vs Direct'!AO6</f>
        <v>27.817</v>
      </c>
      <c r="AQ6" s="9">
        <f>'Indirect vs Direct'!AP6</f>
        <v>24.167000000000002</v>
      </c>
      <c r="AR6" s="9">
        <f>'Indirect vs Direct'!AQ6</f>
        <v>11.967000000000002</v>
      </c>
      <c r="AS6" s="9">
        <f>'Indirect vs Direct'!AR6</f>
        <v>19.408999999999999</v>
      </c>
      <c r="AT6" s="9">
        <f>'Indirect vs Direct'!AS6</f>
        <v>16.032999999999998</v>
      </c>
      <c r="AU6" s="9">
        <f>'Indirect vs Direct'!AT6</f>
        <v>22.683</v>
      </c>
      <c r="AV6" s="9">
        <f>'Indirect vs Direct'!AU6</f>
        <v>34.224299999999999</v>
      </c>
      <c r="AW6" s="9">
        <f>'Indirect vs Direct'!AV6</f>
        <v>30.300999999999998</v>
      </c>
      <c r="AX6" s="9">
        <f>'Indirect vs Direct'!AW6</f>
        <v>18</v>
      </c>
      <c r="AY6" s="9">
        <f>'Indirect vs Direct'!AX6</f>
        <v>17.233000000000001</v>
      </c>
      <c r="AZ6" s="9">
        <f>'Indirect vs Direct'!AY6</f>
        <v>15.481999999999999</v>
      </c>
      <c r="BA6" s="9">
        <f>'Indirect vs Direct'!AZ6</f>
        <v>19.165699999999998</v>
      </c>
      <c r="BB6" s="9">
        <f>'Indirect vs Direct'!BA6</f>
        <v>26.967000000000006</v>
      </c>
      <c r="BC6" s="9">
        <f>'Indirect vs Direct'!BB6</f>
        <v>19.5167</v>
      </c>
      <c r="BD6" s="9">
        <f>'Indirect vs Direct'!BC6</f>
        <v>20.049999999999997</v>
      </c>
      <c r="BE6" s="9">
        <f>'Indirect vs Direct'!BD6</f>
        <v>26.700299999999999</v>
      </c>
      <c r="BF6" s="9">
        <f>'Indirect vs Direct'!BE6</f>
        <v>18.183</v>
      </c>
      <c r="BG6" s="9">
        <f>'Indirect vs Direct'!BF6</f>
        <v>19.497999999999998</v>
      </c>
      <c r="BH6" s="9">
        <f>'Indirect vs Direct'!BG6</f>
        <v>18.0337</v>
      </c>
      <c r="BI6" s="9">
        <f>'Indirect vs Direct'!BH6</f>
        <v>16.351300000000002</v>
      </c>
      <c r="BJ6" s="9">
        <f>'Indirect vs Direct'!BI6</f>
        <v>26.85</v>
      </c>
      <c r="BK6" s="9">
        <f>'Indirect vs Direct'!BJ6</f>
        <v>12.082999999999998</v>
      </c>
      <c r="BL6" s="9">
        <f>'Indirect vs Direct'!BK6</f>
        <v>23.386199999999999</v>
      </c>
      <c r="BM6" s="9">
        <f>'Indirect vs Direct'!BL6</f>
        <v>9.7840000000000007</v>
      </c>
      <c r="BN6" s="9">
        <f>'Indirect vs Direct'!BM6</f>
        <v>42.033999999999999</v>
      </c>
      <c r="BO6" s="9">
        <f>'Indirect vs Direct'!BN6</f>
        <v>29.367000000000001</v>
      </c>
      <c r="BP6" s="9">
        <f>'Indirect vs Direct'!BO6</f>
        <v>33.742000000000004</v>
      </c>
      <c r="BQ6" s="9">
        <f>'Indirect vs Direct'!BP6</f>
        <v>15.649000000000001</v>
      </c>
      <c r="BR6" s="9">
        <f>'Indirect vs Direct'!BQ6</f>
        <v>15.3</v>
      </c>
      <c r="BS6" s="9">
        <f>'Indirect vs Direct'!BR6</f>
        <v>7.3056999999999981</v>
      </c>
      <c r="BT6" s="9">
        <f>'Indirect vs Direct'!BS6</f>
        <v>12.067</v>
      </c>
      <c r="BU6" s="9">
        <f>'Indirect vs Direct'!BT6</f>
        <v>18.183</v>
      </c>
      <c r="BV6" s="9">
        <f>'Indirect vs Direct'!BU6</f>
        <v>24.083300000000008</v>
      </c>
      <c r="BW6" s="9">
        <f>'Indirect vs Direct'!BV6</f>
        <v>19.883299999999998</v>
      </c>
      <c r="BX6" s="9">
        <f>'Indirect vs Direct'!BW6</f>
        <v>17.183299999999999</v>
      </c>
      <c r="BY6" s="9">
        <f>'Indirect vs Direct'!BX6</f>
        <v>15.767000000000001</v>
      </c>
      <c r="BZ6" s="9">
        <f>'Indirect vs Direct'!BY6</f>
        <v>21.083000000000002</v>
      </c>
      <c r="CA6" s="9">
        <f>'Indirect vs Direct'!BZ6</f>
        <v>13.616</v>
      </c>
      <c r="CB6" s="9">
        <f>'Indirect vs Direct'!CA6</f>
        <v>33.683</v>
      </c>
      <c r="CC6" s="9">
        <f>'Indirect vs Direct'!CB6</f>
        <v>26.1</v>
      </c>
      <c r="CD6" s="9">
        <f>'Indirect vs Direct'!CC6</f>
        <v>10.867000000000001</v>
      </c>
      <c r="CE6" s="9">
        <f>'Indirect vs Direct'!CD6</f>
        <v>8.5829999999999984</v>
      </c>
      <c r="CF6" s="9">
        <f>'Indirect vs Direct'!CE6</f>
        <v>19.566299999999998</v>
      </c>
      <c r="CG6" s="9">
        <f>'Indirect vs Direct'!CF6</f>
        <v>28.067</v>
      </c>
      <c r="CH6" s="9">
        <f>'Indirect vs Direct'!CG6</f>
        <v>44.132999999999996</v>
      </c>
      <c r="CI6" s="9">
        <f>'Indirect vs Direct'!CH6</f>
        <v>22.5</v>
      </c>
      <c r="CJ6" s="9">
        <f>'Indirect vs Direct'!CI6</f>
        <v>21.25</v>
      </c>
      <c r="CK6" s="9">
        <f>'Indirect vs Direct'!CJ6</f>
        <v>23.483000000000004</v>
      </c>
      <c r="CL6" s="9">
        <f>'Indirect vs Direct'!CK6</f>
        <v>14.968999999999998</v>
      </c>
      <c r="CM6" s="9">
        <f>'Indirect vs Direct'!CL6</f>
        <v>23.798999999999999</v>
      </c>
      <c r="DQ6" s="376"/>
    </row>
    <row r="7" spans="1:121" x14ac:dyDescent="0.25">
      <c r="A7" s="345"/>
      <c r="C7" t="s">
        <v>348</v>
      </c>
      <c r="D7" s="9">
        <f t="shared" ref="D7:AI7" si="0">IF(COUNTIF(D$11,"FALSE")=1,D$5,0)</f>
        <v>40.016666666666666</v>
      </c>
      <c r="E7" s="9">
        <f t="shared" si="0"/>
        <v>0</v>
      </c>
      <c r="F7" s="9">
        <f t="shared" si="0"/>
        <v>32.733333333333334</v>
      </c>
      <c r="G7" s="9">
        <f t="shared" si="0"/>
        <v>26.717999999999993</v>
      </c>
      <c r="H7" s="9">
        <f t="shared" si="0"/>
        <v>25.465999999999998</v>
      </c>
      <c r="I7" s="9">
        <f t="shared" si="0"/>
        <v>24.65</v>
      </c>
      <c r="J7" s="9">
        <f t="shared" si="0"/>
        <v>57.766666666666666</v>
      </c>
      <c r="K7" s="9">
        <f t="shared" si="0"/>
        <v>44.332999999999998</v>
      </c>
      <c r="L7" s="9">
        <f t="shared" si="0"/>
        <v>29.419</v>
      </c>
      <c r="M7" s="9">
        <f t="shared" si="0"/>
        <v>0</v>
      </c>
      <c r="N7" s="9">
        <f t="shared" si="0"/>
        <v>36.5837</v>
      </c>
      <c r="O7" s="9">
        <f t="shared" si="0"/>
        <v>24.417000000000002</v>
      </c>
      <c r="P7" s="9">
        <f t="shared" si="0"/>
        <v>42.265999999999998</v>
      </c>
      <c r="Q7" s="9">
        <f t="shared" si="0"/>
        <v>48.048999999999992</v>
      </c>
      <c r="R7" s="9">
        <f t="shared" si="0"/>
        <v>15.75</v>
      </c>
      <c r="S7" s="9">
        <f t="shared" si="0"/>
        <v>19.420999999999999</v>
      </c>
      <c r="T7" s="9">
        <f t="shared" si="0"/>
        <v>35.667000000000002</v>
      </c>
      <c r="U7" s="9">
        <f t="shared" si="0"/>
        <v>0</v>
      </c>
      <c r="V7" s="9">
        <f t="shared" si="0"/>
        <v>62.499000000000009</v>
      </c>
      <c r="W7" s="9">
        <f t="shared" si="0"/>
        <v>31.766300000000001</v>
      </c>
      <c r="X7" s="9">
        <f t="shared" si="0"/>
        <v>32.850300000000004</v>
      </c>
      <c r="Y7" s="9">
        <f t="shared" si="0"/>
        <v>51.498699999999999</v>
      </c>
      <c r="Z7" s="9">
        <f t="shared" si="0"/>
        <v>27.980000000000004</v>
      </c>
      <c r="AA7" s="9">
        <f t="shared" si="0"/>
        <v>15.433</v>
      </c>
      <c r="AB7" s="9">
        <f t="shared" si="0"/>
        <v>53.549700000000001</v>
      </c>
      <c r="AC7" s="9">
        <f t="shared" si="0"/>
        <v>27.739000000000001</v>
      </c>
      <c r="AD7" s="9">
        <f t="shared" si="0"/>
        <v>23.023300000000003</v>
      </c>
      <c r="AE7" s="9">
        <f t="shared" si="0"/>
        <v>43.187000000000005</v>
      </c>
      <c r="AF7" s="9">
        <f t="shared" si="0"/>
        <v>41.3504</v>
      </c>
      <c r="AG7" s="9">
        <f t="shared" si="0"/>
        <v>28.849000000000004</v>
      </c>
      <c r="AH7" s="9">
        <f t="shared" si="0"/>
        <v>29.700000000000003</v>
      </c>
      <c r="AI7" s="9">
        <f t="shared" si="0"/>
        <v>43.500700000000002</v>
      </c>
      <c r="AJ7" s="9">
        <f t="shared" ref="AJ7:BO7" si="1">IF(COUNTIF(AJ$11,"FALSE")=1,AJ$5,0)</f>
        <v>41.670999999999999</v>
      </c>
      <c r="AK7" s="9">
        <f t="shared" si="1"/>
        <v>35.482999999999997</v>
      </c>
      <c r="AL7" s="9">
        <f t="shared" si="1"/>
        <v>52.750999999999998</v>
      </c>
      <c r="AM7" s="9">
        <f t="shared" si="1"/>
        <v>36.750000000000007</v>
      </c>
      <c r="AN7" s="9">
        <f t="shared" si="1"/>
        <v>39.349999999999994</v>
      </c>
      <c r="AO7" s="9">
        <f t="shared" si="1"/>
        <v>40.414999999999999</v>
      </c>
      <c r="AP7" s="9">
        <f t="shared" si="1"/>
        <v>33.766000000000005</v>
      </c>
      <c r="AQ7" s="9">
        <f t="shared" si="1"/>
        <v>22.016399999999997</v>
      </c>
      <c r="AR7" s="9">
        <f t="shared" si="1"/>
        <v>30.051000000000002</v>
      </c>
      <c r="AS7" s="9">
        <f t="shared" si="1"/>
        <v>59.820500000000003</v>
      </c>
      <c r="AT7" s="9">
        <f t="shared" si="1"/>
        <v>38.116999999999997</v>
      </c>
      <c r="AU7" s="9">
        <f t="shared" si="1"/>
        <v>32.9</v>
      </c>
      <c r="AV7" s="9">
        <f t="shared" si="1"/>
        <v>20.515999999999998</v>
      </c>
      <c r="AW7" s="9">
        <f t="shared" si="1"/>
        <v>51.100299999999997</v>
      </c>
      <c r="AX7" s="9">
        <f t="shared" si="1"/>
        <v>61.084000000000003</v>
      </c>
      <c r="AY7" s="9">
        <f t="shared" si="1"/>
        <v>0</v>
      </c>
      <c r="AZ7" s="9">
        <f t="shared" si="1"/>
        <v>46.199700000000007</v>
      </c>
      <c r="BA7" s="9">
        <f t="shared" si="1"/>
        <v>57.5336</v>
      </c>
      <c r="BB7" s="9">
        <f t="shared" si="1"/>
        <v>20.882999999999999</v>
      </c>
      <c r="BC7" s="9">
        <f t="shared" si="1"/>
        <v>42.416000000000004</v>
      </c>
      <c r="BD7" s="9">
        <f t="shared" si="1"/>
        <v>41.515999999999998</v>
      </c>
      <c r="BE7" s="9">
        <f t="shared" si="1"/>
        <v>29.432299999999998</v>
      </c>
      <c r="BF7" s="9">
        <f t="shared" si="1"/>
        <v>29.467000000000002</v>
      </c>
      <c r="BG7" s="9">
        <f t="shared" si="1"/>
        <v>34.645199999999996</v>
      </c>
      <c r="BH7" s="9">
        <f t="shared" si="1"/>
        <v>36.266299999999994</v>
      </c>
      <c r="BI7" s="9">
        <f t="shared" si="1"/>
        <v>19.541999999999998</v>
      </c>
      <c r="BJ7" s="9">
        <f t="shared" si="1"/>
        <v>25.966999999999999</v>
      </c>
      <c r="BK7" s="9">
        <f t="shared" si="1"/>
        <v>13.1</v>
      </c>
      <c r="BL7" s="9">
        <f t="shared" si="1"/>
        <v>37.509300000000003</v>
      </c>
      <c r="BM7" s="9">
        <f t="shared" si="1"/>
        <v>19.549299999999999</v>
      </c>
      <c r="BN7" s="9">
        <f t="shared" si="1"/>
        <v>31.0717</v>
      </c>
      <c r="BO7" s="9">
        <f t="shared" si="1"/>
        <v>28.6493</v>
      </c>
      <c r="BP7" s="9">
        <f t="shared" ref="BP7:CM7" si="2">IF(COUNTIF(BP$11,"FALSE")=1,BP$5,0)</f>
        <v>60.104999999999997</v>
      </c>
      <c r="BQ7" s="9">
        <f t="shared" si="2"/>
        <v>21.351000000000003</v>
      </c>
      <c r="BR7" s="9">
        <f t="shared" si="2"/>
        <v>33.483700000000006</v>
      </c>
      <c r="BS7" s="9">
        <f t="shared" si="2"/>
        <v>0</v>
      </c>
      <c r="BT7" s="9">
        <f t="shared" si="2"/>
        <v>46.982999999999997</v>
      </c>
      <c r="BU7" s="9">
        <f t="shared" si="2"/>
        <v>64.816300000000012</v>
      </c>
      <c r="BV7" s="9">
        <f t="shared" si="2"/>
        <v>45.216999999999999</v>
      </c>
      <c r="BW7" s="9">
        <f t="shared" si="2"/>
        <v>46.216999999999992</v>
      </c>
      <c r="BX7" s="9">
        <f t="shared" si="2"/>
        <v>15.716700000000001</v>
      </c>
      <c r="BY7" s="9">
        <f t="shared" si="2"/>
        <v>8.3333000000000013</v>
      </c>
      <c r="BZ7" s="9">
        <f t="shared" si="2"/>
        <v>32.732700000000001</v>
      </c>
      <c r="CA7" s="9">
        <f t="shared" si="2"/>
        <v>6.2006999999999994</v>
      </c>
      <c r="CB7" s="9">
        <f t="shared" si="2"/>
        <v>48.466999999999999</v>
      </c>
      <c r="CC7" s="9">
        <f t="shared" si="2"/>
        <v>39.884000000000007</v>
      </c>
      <c r="CD7" s="9">
        <f t="shared" si="2"/>
        <v>39.701999999999998</v>
      </c>
      <c r="CE7" s="9">
        <f t="shared" si="2"/>
        <v>8.85</v>
      </c>
      <c r="CF7" s="9">
        <f t="shared" si="2"/>
        <v>18.533000000000001</v>
      </c>
      <c r="CG7" s="9">
        <f t="shared" si="2"/>
        <v>48.633299999999998</v>
      </c>
      <c r="CH7" s="9">
        <f t="shared" si="2"/>
        <v>27.3</v>
      </c>
      <c r="CI7" s="9">
        <f t="shared" si="2"/>
        <v>63</v>
      </c>
      <c r="CJ7" s="9">
        <f t="shared" si="2"/>
        <v>30.383000000000003</v>
      </c>
      <c r="CK7" s="9">
        <f t="shared" si="2"/>
        <v>0</v>
      </c>
      <c r="CL7" s="9">
        <f t="shared" si="2"/>
        <v>67.398499999999999</v>
      </c>
      <c r="CM7" s="9">
        <f t="shared" si="2"/>
        <v>33.482999999999997</v>
      </c>
      <c r="DQ7" s="376"/>
    </row>
    <row r="8" spans="1:121" x14ac:dyDescent="0.25">
      <c r="A8" s="345"/>
      <c r="C8" t="s">
        <v>349</v>
      </c>
      <c r="D8" s="9">
        <f t="shared" ref="D8:AI8" si="3">IF(COUNTIF(D$11,"FALSE")=1,D$6,0)</f>
        <v>21.25</v>
      </c>
      <c r="E8" s="9">
        <f t="shared" si="3"/>
        <v>0</v>
      </c>
      <c r="F8" s="9">
        <f t="shared" si="3"/>
        <v>37.800000000000004</v>
      </c>
      <c r="G8" s="9">
        <f t="shared" si="3"/>
        <v>22.699999999999996</v>
      </c>
      <c r="H8" s="9">
        <f t="shared" si="3"/>
        <v>17.683</v>
      </c>
      <c r="I8" s="9">
        <f t="shared" si="3"/>
        <v>21.816666666666666</v>
      </c>
      <c r="J8" s="9">
        <f t="shared" si="3"/>
        <v>17.95</v>
      </c>
      <c r="K8" s="9">
        <f t="shared" si="3"/>
        <v>29.099999999999998</v>
      </c>
      <c r="L8" s="9">
        <f t="shared" si="3"/>
        <v>18.364799999999999</v>
      </c>
      <c r="M8" s="9">
        <f t="shared" si="3"/>
        <v>0</v>
      </c>
      <c r="N8" s="9">
        <f t="shared" si="3"/>
        <v>27.867000000000001</v>
      </c>
      <c r="O8" s="9">
        <f t="shared" si="3"/>
        <v>27.299999999999997</v>
      </c>
      <c r="P8" s="9">
        <f t="shared" si="3"/>
        <v>12.533999999999999</v>
      </c>
      <c r="Q8" s="9">
        <f t="shared" si="3"/>
        <v>28.850999999999999</v>
      </c>
      <c r="R8" s="9">
        <f t="shared" si="3"/>
        <v>19.249299999999998</v>
      </c>
      <c r="S8" s="9">
        <f t="shared" si="3"/>
        <v>14.064499999999999</v>
      </c>
      <c r="T8" s="9">
        <f t="shared" si="3"/>
        <v>26.050999999999998</v>
      </c>
      <c r="U8" s="9">
        <f t="shared" si="3"/>
        <v>0</v>
      </c>
      <c r="V8" s="9">
        <f t="shared" si="3"/>
        <v>35.849999999999994</v>
      </c>
      <c r="W8" s="9">
        <f t="shared" si="3"/>
        <v>14.600000000000001</v>
      </c>
      <c r="X8" s="9">
        <f t="shared" si="3"/>
        <v>21.95</v>
      </c>
      <c r="Y8" s="9">
        <f t="shared" si="3"/>
        <v>18.533000000000001</v>
      </c>
      <c r="Z8" s="9">
        <f t="shared" si="3"/>
        <v>16.400000000000002</v>
      </c>
      <c r="AA8" s="9">
        <f t="shared" si="3"/>
        <v>31.1</v>
      </c>
      <c r="AB8" s="9">
        <f t="shared" si="3"/>
        <v>16.967300000000002</v>
      </c>
      <c r="AC8" s="9">
        <f t="shared" si="3"/>
        <v>13.353499999999999</v>
      </c>
      <c r="AD8" s="9">
        <f t="shared" si="3"/>
        <v>13.178000000000001</v>
      </c>
      <c r="AE8" s="9">
        <f t="shared" si="3"/>
        <v>20.265999999999998</v>
      </c>
      <c r="AF8" s="9">
        <f t="shared" si="3"/>
        <v>16.150300000000001</v>
      </c>
      <c r="AG8" s="9">
        <f t="shared" si="3"/>
        <v>28.183299999999999</v>
      </c>
      <c r="AH8" s="9">
        <f t="shared" si="3"/>
        <v>20.2163</v>
      </c>
      <c r="AI8" s="9">
        <f t="shared" si="3"/>
        <v>21.300000000000004</v>
      </c>
      <c r="AJ8" s="9">
        <f t="shared" ref="AJ8:BO8" si="4">IF(COUNTIF(AJ$11,"FALSE")=1,AJ$6,0)</f>
        <v>23.132999999999999</v>
      </c>
      <c r="AK8" s="9">
        <f t="shared" si="4"/>
        <v>29.082999999999998</v>
      </c>
      <c r="AL8" s="9">
        <f t="shared" si="4"/>
        <v>27.716999999999999</v>
      </c>
      <c r="AM8" s="9">
        <f t="shared" si="4"/>
        <v>12.149999999999999</v>
      </c>
      <c r="AN8" s="9">
        <f t="shared" si="4"/>
        <v>31.971999999999998</v>
      </c>
      <c r="AO8" s="9">
        <f t="shared" si="4"/>
        <v>30.716300000000004</v>
      </c>
      <c r="AP8" s="9">
        <f t="shared" si="4"/>
        <v>27.817</v>
      </c>
      <c r="AQ8" s="9">
        <f t="shared" si="4"/>
        <v>24.167000000000002</v>
      </c>
      <c r="AR8" s="9">
        <f t="shared" si="4"/>
        <v>11.967000000000002</v>
      </c>
      <c r="AS8" s="9">
        <f t="shared" si="4"/>
        <v>19.408999999999999</v>
      </c>
      <c r="AT8" s="9">
        <f t="shared" si="4"/>
        <v>16.032999999999998</v>
      </c>
      <c r="AU8" s="9">
        <f t="shared" si="4"/>
        <v>22.683</v>
      </c>
      <c r="AV8" s="9">
        <f t="shared" si="4"/>
        <v>34.224299999999999</v>
      </c>
      <c r="AW8" s="9">
        <f t="shared" si="4"/>
        <v>30.300999999999998</v>
      </c>
      <c r="AX8" s="9">
        <f t="shared" si="4"/>
        <v>18</v>
      </c>
      <c r="AY8" s="9">
        <f t="shared" si="4"/>
        <v>0</v>
      </c>
      <c r="AZ8" s="9">
        <f t="shared" si="4"/>
        <v>15.481999999999999</v>
      </c>
      <c r="BA8" s="9">
        <f t="shared" si="4"/>
        <v>19.165699999999998</v>
      </c>
      <c r="BB8" s="9">
        <f t="shared" si="4"/>
        <v>26.967000000000006</v>
      </c>
      <c r="BC8" s="9">
        <f t="shared" si="4"/>
        <v>19.5167</v>
      </c>
      <c r="BD8" s="9">
        <f t="shared" si="4"/>
        <v>20.049999999999997</v>
      </c>
      <c r="BE8" s="9">
        <f t="shared" si="4"/>
        <v>26.700299999999999</v>
      </c>
      <c r="BF8" s="9">
        <f t="shared" si="4"/>
        <v>18.183</v>
      </c>
      <c r="BG8" s="9">
        <f t="shared" si="4"/>
        <v>19.497999999999998</v>
      </c>
      <c r="BH8" s="9">
        <f t="shared" si="4"/>
        <v>18.0337</v>
      </c>
      <c r="BI8" s="9">
        <f t="shared" si="4"/>
        <v>16.351300000000002</v>
      </c>
      <c r="BJ8" s="9">
        <f t="shared" si="4"/>
        <v>26.85</v>
      </c>
      <c r="BK8" s="9">
        <f t="shared" si="4"/>
        <v>12.082999999999998</v>
      </c>
      <c r="BL8" s="9">
        <f t="shared" si="4"/>
        <v>23.386199999999999</v>
      </c>
      <c r="BM8" s="9">
        <f t="shared" si="4"/>
        <v>9.7840000000000007</v>
      </c>
      <c r="BN8" s="9">
        <f t="shared" si="4"/>
        <v>42.033999999999999</v>
      </c>
      <c r="BO8" s="9">
        <f t="shared" si="4"/>
        <v>29.367000000000001</v>
      </c>
      <c r="BP8" s="9">
        <f t="shared" ref="BP8:CM8" si="5">IF(COUNTIF(BP$11,"FALSE")=1,BP$6,0)</f>
        <v>33.742000000000004</v>
      </c>
      <c r="BQ8" s="9">
        <f t="shared" si="5"/>
        <v>15.649000000000001</v>
      </c>
      <c r="BR8" s="9">
        <f t="shared" si="5"/>
        <v>15.3</v>
      </c>
      <c r="BS8" s="9">
        <f t="shared" si="5"/>
        <v>0</v>
      </c>
      <c r="BT8" s="9">
        <f t="shared" si="5"/>
        <v>12.067</v>
      </c>
      <c r="BU8" s="9">
        <f t="shared" si="5"/>
        <v>18.183</v>
      </c>
      <c r="BV8" s="9">
        <f t="shared" si="5"/>
        <v>24.083300000000008</v>
      </c>
      <c r="BW8" s="9">
        <f t="shared" si="5"/>
        <v>19.883299999999998</v>
      </c>
      <c r="BX8" s="9">
        <f t="shared" si="5"/>
        <v>17.183299999999999</v>
      </c>
      <c r="BY8" s="9">
        <f t="shared" si="5"/>
        <v>15.767000000000001</v>
      </c>
      <c r="BZ8" s="9">
        <f t="shared" si="5"/>
        <v>21.083000000000002</v>
      </c>
      <c r="CA8" s="9">
        <f t="shared" si="5"/>
        <v>13.616</v>
      </c>
      <c r="CB8" s="9">
        <f t="shared" si="5"/>
        <v>33.683</v>
      </c>
      <c r="CC8" s="9">
        <f t="shared" si="5"/>
        <v>26.1</v>
      </c>
      <c r="CD8" s="9">
        <f t="shared" si="5"/>
        <v>10.867000000000001</v>
      </c>
      <c r="CE8" s="9">
        <f t="shared" si="5"/>
        <v>8.5829999999999984</v>
      </c>
      <c r="CF8" s="9">
        <f t="shared" si="5"/>
        <v>19.566299999999998</v>
      </c>
      <c r="CG8" s="9">
        <f t="shared" si="5"/>
        <v>28.067</v>
      </c>
      <c r="CH8" s="9">
        <f t="shared" si="5"/>
        <v>44.132999999999996</v>
      </c>
      <c r="CI8" s="9">
        <f t="shared" si="5"/>
        <v>22.5</v>
      </c>
      <c r="CJ8" s="9">
        <f t="shared" si="5"/>
        <v>21.25</v>
      </c>
      <c r="CK8" s="9">
        <f t="shared" si="5"/>
        <v>0</v>
      </c>
      <c r="CL8" s="9">
        <f t="shared" si="5"/>
        <v>14.968999999999998</v>
      </c>
      <c r="CM8" s="9">
        <f t="shared" si="5"/>
        <v>23.798999999999999</v>
      </c>
      <c r="DQ8" s="376"/>
    </row>
    <row r="9" spans="1:121" x14ac:dyDescent="0.25">
      <c r="A9" s="345"/>
      <c r="C9" t="s">
        <v>350</v>
      </c>
      <c r="D9" s="9">
        <f t="shared" ref="D9:AI9" si="6">IF(COUNTIF(D$11,"FALSE")=0,D$5,0)</f>
        <v>0</v>
      </c>
      <c r="E9" s="9">
        <f t="shared" si="6"/>
        <v>38.899000000000008</v>
      </c>
      <c r="F9" s="9">
        <f t="shared" si="6"/>
        <v>0</v>
      </c>
      <c r="G9" s="9">
        <f t="shared" si="6"/>
        <v>0</v>
      </c>
      <c r="H9" s="9">
        <f t="shared" si="6"/>
        <v>0</v>
      </c>
      <c r="I9" s="9">
        <f t="shared" si="6"/>
        <v>0</v>
      </c>
      <c r="J9" s="9">
        <f t="shared" si="6"/>
        <v>0</v>
      </c>
      <c r="K9" s="9">
        <f t="shared" si="6"/>
        <v>0</v>
      </c>
      <c r="L9" s="9">
        <f t="shared" si="6"/>
        <v>0</v>
      </c>
      <c r="M9" s="9">
        <f t="shared" si="6"/>
        <v>41.783000000000001</v>
      </c>
      <c r="N9" s="9">
        <f t="shared" si="6"/>
        <v>0</v>
      </c>
      <c r="O9" s="9">
        <f t="shared" si="6"/>
        <v>0</v>
      </c>
      <c r="P9" s="9">
        <f t="shared" si="6"/>
        <v>0</v>
      </c>
      <c r="Q9" s="9">
        <f t="shared" si="6"/>
        <v>0</v>
      </c>
      <c r="R9" s="9">
        <f t="shared" si="6"/>
        <v>0</v>
      </c>
      <c r="S9" s="9">
        <f t="shared" si="6"/>
        <v>0</v>
      </c>
      <c r="T9" s="9">
        <f t="shared" si="6"/>
        <v>0</v>
      </c>
      <c r="U9" s="9">
        <f t="shared" si="6"/>
        <v>40.149700000000003</v>
      </c>
      <c r="V9" s="9">
        <f t="shared" si="6"/>
        <v>0</v>
      </c>
      <c r="W9" s="9">
        <f t="shared" si="6"/>
        <v>0</v>
      </c>
      <c r="X9" s="9">
        <f t="shared" si="6"/>
        <v>0</v>
      </c>
      <c r="Y9" s="9">
        <f t="shared" si="6"/>
        <v>0</v>
      </c>
      <c r="Z9" s="9">
        <f t="shared" si="6"/>
        <v>0</v>
      </c>
      <c r="AA9" s="9">
        <f t="shared" si="6"/>
        <v>0</v>
      </c>
      <c r="AB9" s="9">
        <f t="shared" si="6"/>
        <v>0</v>
      </c>
      <c r="AC9" s="9">
        <f t="shared" si="6"/>
        <v>0</v>
      </c>
      <c r="AD9" s="9">
        <f t="shared" si="6"/>
        <v>0</v>
      </c>
      <c r="AE9" s="9">
        <f t="shared" si="6"/>
        <v>0</v>
      </c>
      <c r="AF9" s="9">
        <f t="shared" si="6"/>
        <v>0</v>
      </c>
      <c r="AG9" s="9">
        <f t="shared" si="6"/>
        <v>0</v>
      </c>
      <c r="AH9" s="9">
        <f t="shared" si="6"/>
        <v>0</v>
      </c>
      <c r="AI9" s="9">
        <f t="shared" si="6"/>
        <v>0</v>
      </c>
      <c r="AJ9" s="9">
        <f t="shared" ref="AJ9:BO9" si="7">IF(COUNTIF(AJ$11,"FALSE")=0,AJ$5,0)</f>
        <v>0</v>
      </c>
      <c r="AK9" s="9">
        <f t="shared" si="7"/>
        <v>0</v>
      </c>
      <c r="AL9" s="9">
        <f t="shared" si="7"/>
        <v>0</v>
      </c>
      <c r="AM9" s="9">
        <f t="shared" si="7"/>
        <v>0</v>
      </c>
      <c r="AN9" s="9">
        <f t="shared" si="7"/>
        <v>0</v>
      </c>
      <c r="AO9" s="9">
        <f t="shared" si="7"/>
        <v>0</v>
      </c>
      <c r="AP9" s="9">
        <f t="shared" si="7"/>
        <v>0</v>
      </c>
      <c r="AQ9" s="9">
        <f t="shared" si="7"/>
        <v>0</v>
      </c>
      <c r="AR9" s="9">
        <f t="shared" si="7"/>
        <v>0</v>
      </c>
      <c r="AS9" s="9">
        <f t="shared" si="7"/>
        <v>0</v>
      </c>
      <c r="AT9" s="9">
        <f t="shared" si="7"/>
        <v>0</v>
      </c>
      <c r="AU9" s="9">
        <f t="shared" si="7"/>
        <v>0</v>
      </c>
      <c r="AV9" s="9">
        <f t="shared" si="7"/>
        <v>0</v>
      </c>
      <c r="AW9" s="9">
        <f t="shared" si="7"/>
        <v>0</v>
      </c>
      <c r="AX9" s="9">
        <f t="shared" si="7"/>
        <v>0</v>
      </c>
      <c r="AY9" s="9">
        <f t="shared" si="7"/>
        <v>26.166</v>
      </c>
      <c r="AZ9" s="9">
        <f t="shared" si="7"/>
        <v>0</v>
      </c>
      <c r="BA9" s="9">
        <f t="shared" si="7"/>
        <v>0</v>
      </c>
      <c r="BB9" s="9">
        <f t="shared" si="7"/>
        <v>0</v>
      </c>
      <c r="BC9" s="9">
        <f t="shared" si="7"/>
        <v>0</v>
      </c>
      <c r="BD9" s="9">
        <f t="shared" si="7"/>
        <v>0</v>
      </c>
      <c r="BE9" s="9">
        <f t="shared" si="7"/>
        <v>0</v>
      </c>
      <c r="BF9" s="9">
        <f t="shared" si="7"/>
        <v>0</v>
      </c>
      <c r="BG9" s="9">
        <f t="shared" si="7"/>
        <v>0</v>
      </c>
      <c r="BH9" s="9">
        <f t="shared" si="7"/>
        <v>0</v>
      </c>
      <c r="BI9" s="9">
        <f t="shared" si="7"/>
        <v>0</v>
      </c>
      <c r="BJ9" s="9">
        <f t="shared" si="7"/>
        <v>0</v>
      </c>
      <c r="BK9" s="9">
        <f t="shared" si="7"/>
        <v>0</v>
      </c>
      <c r="BL9" s="9">
        <f t="shared" si="7"/>
        <v>0</v>
      </c>
      <c r="BM9" s="9">
        <f t="shared" si="7"/>
        <v>0</v>
      </c>
      <c r="BN9" s="9">
        <f t="shared" si="7"/>
        <v>0</v>
      </c>
      <c r="BO9" s="9">
        <f t="shared" si="7"/>
        <v>0</v>
      </c>
      <c r="BP9" s="9">
        <f t="shared" ref="BP9:CM9" si="8">IF(COUNTIF(BP$11,"FALSE")=0,BP$5,0)</f>
        <v>0</v>
      </c>
      <c r="BQ9" s="9">
        <f t="shared" si="8"/>
        <v>0</v>
      </c>
      <c r="BR9" s="9">
        <f t="shared" si="8"/>
        <v>0</v>
      </c>
      <c r="BS9" s="9">
        <f t="shared" si="8"/>
        <v>46.535999999999994</v>
      </c>
      <c r="BT9" s="9">
        <f t="shared" si="8"/>
        <v>0</v>
      </c>
      <c r="BU9" s="9">
        <f t="shared" si="8"/>
        <v>0</v>
      </c>
      <c r="BV9" s="9">
        <f t="shared" si="8"/>
        <v>0</v>
      </c>
      <c r="BW9" s="9">
        <f t="shared" si="8"/>
        <v>0</v>
      </c>
      <c r="BX9" s="9">
        <f t="shared" si="8"/>
        <v>0</v>
      </c>
      <c r="BY9" s="9">
        <f t="shared" si="8"/>
        <v>0</v>
      </c>
      <c r="BZ9" s="9">
        <f t="shared" si="8"/>
        <v>0</v>
      </c>
      <c r="CA9" s="9">
        <f t="shared" si="8"/>
        <v>0</v>
      </c>
      <c r="CB9" s="9">
        <f t="shared" si="8"/>
        <v>0</v>
      </c>
      <c r="CC9" s="9">
        <f t="shared" si="8"/>
        <v>0</v>
      </c>
      <c r="CD9" s="9">
        <f t="shared" si="8"/>
        <v>0</v>
      </c>
      <c r="CE9" s="9">
        <f t="shared" si="8"/>
        <v>0</v>
      </c>
      <c r="CF9" s="9">
        <f t="shared" si="8"/>
        <v>0</v>
      </c>
      <c r="CG9" s="9">
        <f t="shared" si="8"/>
        <v>0</v>
      </c>
      <c r="CH9" s="9">
        <f t="shared" si="8"/>
        <v>0</v>
      </c>
      <c r="CI9" s="9">
        <f t="shared" si="8"/>
        <v>0</v>
      </c>
      <c r="CJ9" s="9">
        <f t="shared" si="8"/>
        <v>0</v>
      </c>
      <c r="CK9" s="9">
        <f t="shared" si="8"/>
        <v>52.516999999999996</v>
      </c>
      <c r="CL9" s="9">
        <f t="shared" si="8"/>
        <v>0</v>
      </c>
      <c r="CM9" s="9">
        <f t="shared" si="8"/>
        <v>0</v>
      </c>
      <c r="DQ9" s="376"/>
    </row>
    <row r="10" spans="1:121" x14ac:dyDescent="0.25">
      <c r="A10" s="345"/>
      <c r="C10" t="s">
        <v>351</v>
      </c>
      <c r="D10" s="9">
        <f t="shared" ref="D10:AI10" si="9">IF(COUNTIF(D$11,"FALSE")=0,D$6,0)</f>
        <v>0</v>
      </c>
      <c r="E10" s="9">
        <f t="shared" si="9"/>
        <v>17.266999999999996</v>
      </c>
      <c r="F10" s="9">
        <f t="shared" si="9"/>
        <v>0</v>
      </c>
      <c r="G10" s="9">
        <f t="shared" si="9"/>
        <v>0</v>
      </c>
      <c r="H10" s="9">
        <f t="shared" si="9"/>
        <v>0</v>
      </c>
      <c r="I10" s="9">
        <f t="shared" si="9"/>
        <v>0</v>
      </c>
      <c r="J10" s="9">
        <f t="shared" si="9"/>
        <v>0</v>
      </c>
      <c r="K10" s="9">
        <f t="shared" si="9"/>
        <v>0</v>
      </c>
      <c r="L10" s="9">
        <f t="shared" si="9"/>
        <v>0</v>
      </c>
      <c r="M10" s="9">
        <f t="shared" si="9"/>
        <v>38.783000000000001</v>
      </c>
      <c r="N10" s="9">
        <f t="shared" si="9"/>
        <v>0</v>
      </c>
      <c r="O10" s="9">
        <f t="shared" si="9"/>
        <v>0</v>
      </c>
      <c r="P10" s="9">
        <f t="shared" si="9"/>
        <v>0</v>
      </c>
      <c r="Q10" s="9">
        <f t="shared" si="9"/>
        <v>0</v>
      </c>
      <c r="R10" s="9">
        <f t="shared" si="9"/>
        <v>0</v>
      </c>
      <c r="S10" s="9">
        <f t="shared" si="9"/>
        <v>0</v>
      </c>
      <c r="T10" s="9">
        <f t="shared" si="9"/>
        <v>0</v>
      </c>
      <c r="U10" s="9">
        <f t="shared" si="9"/>
        <v>27.166999999999998</v>
      </c>
      <c r="V10" s="9">
        <f t="shared" si="9"/>
        <v>0</v>
      </c>
      <c r="W10" s="9">
        <f t="shared" si="9"/>
        <v>0</v>
      </c>
      <c r="X10" s="9">
        <f t="shared" si="9"/>
        <v>0</v>
      </c>
      <c r="Y10" s="9">
        <f t="shared" si="9"/>
        <v>0</v>
      </c>
      <c r="Z10" s="9">
        <f t="shared" si="9"/>
        <v>0</v>
      </c>
      <c r="AA10" s="9">
        <f t="shared" si="9"/>
        <v>0</v>
      </c>
      <c r="AB10" s="9">
        <f t="shared" si="9"/>
        <v>0</v>
      </c>
      <c r="AC10" s="9">
        <f t="shared" si="9"/>
        <v>0</v>
      </c>
      <c r="AD10" s="9">
        <f t="shared" si="9"/>
        <v>0</v>
      </c>
      <c r="AE10" s="9">
        <f t="shared" si="9"/>
        <v>0</v>
      </c>
      <c r="AF10" s="9">
        <f t="shared" si="9"/>
        <v>0</v>
      </c>
      <c r="AG10" s="9">
        <f t="shared" si="9"/>
        <v>0</v>
      </c>
      <c r="AH10" s="9">
        <f t="shared" si="9"/>
        <v>0</v>
      </c>
      <c r="AI10" s="9">
        <f t="shared" si="9"/>
        <v>0</v>
      </c>
      <c r="AJ10" s="9">
        <f t="shared" ref="AJ10:BO10" si="10">IF(COUNTIF(AJ$11,"FALSE")=0,AJ$6,0)</f>
        <v>0</v>
      </c>
      <c r="AK10" s="9">
        <f t="shared" si="10"/>
        <v>0</v>
      </c>
      <c r="AL10" s="9">
        <f t="shared" si="10"/>
        <v>0</v>
      </c>
      <c r="AM10" s="9">
        <f t="shared" si="10"/>
        <v>0</v>
      </c>
      <c r="AN10" s="9">
        <f t="shared" si="10"/>
        <v>0</v>
      </c>
      <c r="AO10" s="9">
        <f t="shared" si="10"/>
        <v>0</v>
      </c>
      <c r="AP10" s="9">
        <f t="shared" si="10"/>
        <v>0</v>
      </c>
      <c r="AQ10" s="9">
        <f t="shared" si="10"/>
        <v>0</v>
      </c>
      <c r="AR10" s="9">
        <f t="shared" si="10"/>
        <v>0</v>
      </c>
      <c r="AS10" s="9">
        <f t="shared" si="10"/>
        <v>0</v>
      </c>
      <c r="AT10" s="9">
        <f t="shared" si="10"/>
        <v>0</v>
      </c>
      <c r="AU10" s="9">
        <f t="shared" si="10"/>
        <v>0</v>
      </c>
      <c r="AV10" s="9">
        <f t="shared" si="10"/>
        <v>0</v>
      </c>
      <c r="AW10" s="9">
        <f t="shared" si="10"/>
        <v>0</v>
      </c>
      <c r="AX10" s="9">
        <f t="shared" si="10"/>
        <v>0</v>
      </c>
      <c r="AY10" s="9">
        <f t="shared" si="10"/>
        <v>17.233000000000001</v>
      </c>
      <c r="AZ10" s="9">
        <f t="shared" si="10"/>
        <v>0</v>
      </c>
      <c r="BA10" s="9">
        <f t="shared" si="10"/>
        <v>0</v>
      </c>
      <c r="BB10" s="9">
        <f t="shared" si="10"/>
        <v>0</v>
      </c>
      <c r="BC10" s="9">
        <f t="shared" si="10"/>
        <v>0</v>
      </c>
      <c r="BD10" s="9">
        <f t="shared" si="10"/>
        <v>0</v>
      </c>
      <c r="BE10" s="9">
        <f t="shared" si="10"/>
        <v>0</v>
      </c>
      <c r="BF10" s="9">
        <f t="shared" si="10"/>
        <v>0</v>
      </c>
      <c r="BG10" s="9">
        <f t="shared" si="10"/>
        <v>0</v>
      </c>
      <c r="BH10" s="9">
        <f t="shared" si="10"/>
        <v>0</v>
      </c>
      <c r="BI10" s="9">
        <f t="shared" si="10"/>
        <v>0</v>
      </c>
      <c r="BJ10" s="9">
        <f t="shared" si="10"/>
        <v>0</v>
      </c>
      <c r="BK10" s="9">
        <f t="shared" si="10"/>
        <v>0</v>
      </c>
      <c r="BL10" s="9">
        <f t="shared" si="10"/>
        <v>0</v>
      </c>
      <c r="BM10" s="9">
        <f t="shared" si="10"/>
        <v>0</v>
      </c>
      <c r="BN10" s="9">
        <f t="shared" si="10"/>
        <v>0</v>
      </c>
      <c r="BO10" s="9">
        <f t="shared" si="10"/>
        <v>0</v>
      </c>
      <c r="BP10" s="9">
        <f t="shared" ref="BP10:CM10" si="11">IF(COUNTIF(BP$11,"FALSE")=0,BP$6,0)</f>
        <v>0</v>
      </c>
      <c r="BQ10" s="9">
        <f t="shared" si="11"/>
        <v>0</v>
      </c>
      <c r="BR10" s="9">
        <f t="shared" si="11"/>
        <v>0</v>
      </c>
      <c r="BS10" s="9">
        <f t="shared" si="11"/>
        <v>7.3056999999999981</v>
      </c>
      <c r="BT10" s="9">
        <f t="shared" si="11"/>
        <v>0</v>
      </c>
      <c r="BU10" s="9">
        <f t="shared" si="11"/>
        <v>0</v>
      </c>
      <c r="BV10" s="9">
        <f t="shared" si="11"/>
        <v>0</v>
      </c>
      <c r="BW10" s="9">
        <f t="shared" si="11"/>
        <v>0</v>
      </c>
      <c r="BX10" s="9">
        <f t="shared" si="11"/>
        <v>0</v>
      </c>
      <c r="BY10" s="9">
        <f t="shared" si="11"/>
        <v>0</v>
      </c>
      <c r="BZ10" s="9">
        <f t="shared" si="11"/>
        <v>0</v>
      </c>
      <c r="CA10" s="9">
        <f t="shared" si="11"/>
        <v>0</v>
      </c>
      <c r="CB10" s="9">
        <f t="shared" si="11"/>
        <v>0</v>
      </c>
      <c r="CC10" s="9">
        <f t="shared" si="11"/>
        <v>0</v>
      </c>
      <c r="CD10" s="9">
        <f t="shared" si="11"/>
        <v>0</v>
      </c>
      <c r="CE10" s="9">
        <f t="shared" si="11"/>
        <v>0</v>
      </c>
      <c r="CF10" s="9">
        <f t="shared" si="11"/>
        <v>0</v>
      </c>
      <c r="CG10" s="9">
        <f t="shared" si="11"/>
        <v>0</v>
      </c>
      <c r="CH10" s="9">
        <f t="shared" si="11"/>
        <v>0</v>
      </c>
      <c r="CI10" s="9">
        <f t="shared" si="11"/>
        <v>0</v>
      </c>
      <c r="CJ10" s="9">
        <f t="shared" si="11"/>
        <v>0</v>
      </c>
      <c r="CK10" s="9">
        <f t="shared" si="11"/>
        <v>23.483000000000004</v>
      </c>
      <c r="CL10" s="9">
        <f t="shared" si="11"/>
        <v>0</v>
      </c>
      <c r="CM10" s="9">
        <f t="shared" si="11"/>
        <v>0</v>
      </c>
      <c r="DQ10" s="376"/>
    </row>
    <row r="11" spans="1:121" x14ac:dyDescent="0.25">
      <c r="A11" s="345"/>
      <c r="C11" s="97" t="str">
        <f>'Data For Analysis'!B40</f>
        <v>Same collector/timer</v>
      </c>
      <c r="D11" s="97" t="b">
        <f>LOOKUP(D1,'Data For Analysis'!$D$1:$DK$1,'Data For Analysis'!$D$40:$DK$40)</f>
        <v>0</v>
      </c>
      <c r="E11" s="97" t="b">
        <f>LOOKUP(E1,'Data For Analysis'!$D$1:$DK$1,'Data For Analysis'!$D$40:$DK$40)</f>
        <v>1</v>
      </c>
      <c r="F11" s="97" t="b">
        <f>LOOKUP(F1,'Data For Analysis'!$D$1:$DK$1,'Data For Analysis'!$D$40:$DK$40)</f>
        <v>0</v>
      </c>
      <c r="G11" s="97" t="b">
        <f>LOOKUP(G1,'Data For Analysis'!$D$1:$DK$1,'Data For Analysis'!$D$40:$DK$40)</f>
        <v>0</v>
      </c>
      <c r="H11" s="97" t="b">
        <f>LOOKUP(H1,'Data For Analysis'!$D$1:$DK$1,'Data For Analysis'!$D$40:$DK$40)</f>
        <v>0</v>
      </c>
      <c r="I11" s="97" t="b">
        <f>LOOKUP(I1,'Data For Analysis'!$D$1:$DK$1,'Data For Analysis'!$D$40:$DK$40)</f>
        <v>0</v>
      </c>
      <c r="J11" s="97" t="b">
        <f>LOOKUP(J1,'Data For Analysis'!$D$1:$DK$1,'Data For Analysis'!$D$40:$DK$40)</f>
        <v>0</v>
      </c>
      <c r="K11" s="97" t="b">
        <f>LOOKUP(K1,'Data For Analysis'!$D$1:$DK$1,'Data For Analysis'!$D$40:$DK$40)</f>
        <v>0</v>
      </c>
      <c r="L11" s="97" t="b">
        <f>LOOKUP(L1,'Data For Analysis'!$D$1:$DK$1,'Data For Analysis'!$D$40:$DK$40)</f>
        <v>0</v>
      </c>
      <c r="M11" s="97" t="b">
        <f>LOOKUP(M1,'Data For Analysis'!$D$1:$DK$1,'Data For Analysis'!$D$40:$DK$40)</f>
        <v>1</v>
      </c>
      <c r="N11" s="97" t="b">
        <f>LOOKUP(N1,'Data For Analysis'!$D$1:$DK$1,'Data For Analysis'!$D$40:$DK$40)</f>
        <v>0</v>
      </c>
      <c r="O11" s="97" t="b">
        <f>LOOKUP(O1,'Data For Analysis'!$D$1:$DK$1,'Data For Analysis'!$D$40:$DK$40)</f>
        <v>0</v>
      </c>
      <c r="P11" s="97" t="b">
        <f>LOOKUP(P1,'Data For Analysis'!$D$1:$DK$1,'Data For Analysis'!$D$40:$DK$40)</f>
        <v>0</v>
      </c>
      <c r="Q11" s="97" t="b">
        <f>LOOKUP(Q1,'Data For Analysis'!$D$1:$DK$1,'Data For Analysis'!$D$40:$DK$40)</f>
        <v>0</v>
      </c>
      <c r="R11" s="97" t="b">
        <f>LOOKUP(R1,'Data For Analysis'!$D$1:$DK$1,'Data For Analysis'!$D$40:$DK$40)</f>
        <v>0</v>
      </c>
      <c r="S11" s="97" t="b">
        <f>LOOKUP(S1,'Data For Analysis'!$D$1:$DK$1,'Data For Analysis'!$D$40:$DK$40)</f>
        <v>0</v>
      </c>
      <c r="T11" s="97" t="b">
        <f>LOOKUP(T1,'Data For Analysis'!$D$1:$DK$1,'Data For Analysis'!$D$40:$DK$40)</f>
        <v>0</v>
      </c>
      <c r="U11" s="97" t="b">
        <f>LOOKUP(U1,'Data For Analysis'!$D$1:$DK$1,'Data For Analysis'!$D$40:$DK$40)</f>
        <v>1</v>
      </c>
      <c r="V11" s="97" t="b">
        <f>LOOKUP(V1,'Data For Analysis'!$D$1:$DK$1,'Data For Analysis'!$D$40:$DK$40)</f>
        <v>0</v>
      </c>
      <c r="W11" s="97" t="b">
        <f>LOOKUP(W1,'Data For Analysis'!$D$1:$DK$1,'Data For Analysis'!$D$40:$DK$40)</f>
        <v>0</v>
      </c>
      <c r="X11" s="97" t="b">
        <f>LOOKUP(X1,'Data For Analysis'!$D$1:$DK$1,'Data For Analysis'!$D$40:$DK$40)</f>
        <v>0</v>
      </c>
      <c r="Y11" s="97" t="b">
        <f>LOOKUP(Y1,'Data For Analysis'!$D$1:$DK$1,'Data For Analysis'!$D$40:$DK$40)</f>
        <v>0</v>
      </c>
      <c r="Z11" s="97" t="b">
        <f>LOOKUP(Z1,'Data For Analysis'!$D$1:$DK$1,'Data For Analysis'!$D$40:$DK$40)</f>
        <v>0</v>
      </c>
      <c r="AA11" s="97" t="b">
        <f>LOOKUP(AA1,'Data For Analysis'!$D$1:$DK$1,'Data For Analysis'!$D$40:$DK$40)</f>
        <v>0</v>
      </c>
      <c r="AB11" s="97" t="b">
        <f>LOOKUP(AB1,'Data For Analysis'!$D$1:$DK$1,'Data For Analysis'!$D$40:$DK$40)</f>
        <v>0</v>
      </c>
      <c r="AC11" s="97" t="b">
        <f>LOOKUP(AC1,'Data For Analysis'!$D$1:$DK$1,'Data For Analysis'!$D$40:$DK$40)</f>
        <v>0</v>
      </c>
      <c r="AD11" s="97" t="b">
        <f>LOOKUP(AD1,'Data For Analysis'!$D$1:$DK$1,'Data For Analysis'!$D$40:$DK$40)</f>
        <v>0</v>
      </c>
      <c r="AE11" s="97" t="b">
        <f>LOOKUP(AE1,'Data For Analysis'!$D$1:$DK$1,'Data For Analysis'!$D$40:$DK$40)</f>
        <v>0</v>
      </c>
      <c r="AF11" s="97" t="b">
        <f>LOOKUP(AF1,'Data For Analysis'!$D$1:$DK$1,'Data For Analysis'!$D$40:$DK$40)</f>
        <v>0</v>
      </c>
      <c r="AG11" s="97" t="b">
        <f>LOOKUP(AG1,'Data For Analysis'!$D$1:$DK$1,'Data For Analysis'!$D$40:$DK$40)</f>
        <v>0</v>
      </c>
      <c r="AH11" s="97" t="b">
        <f>LOOKUP(AH1,'Data For Analysis'!$D$1:$DK$1,'Data For Analysis'!$D$40:$DK$40)</f>
        <v>0</v>
      </c>
      <c r="AI11" s="97" t="b">
        <f>LOOKUP(AI1,'Data For Analysis'!$D$1:$DK$1,'Data For Analysis'!$D$40:$DK$40)</f>
        <v>0</v>
      </c>
      <c r="AJ11" s="97" t="b">
        <f>LOOKUP(AJ1,'Data For Analysis'!$D$1:$DK$1,'Data For Analysis'!$D$40:$DK$40)</f>
        <v>0</v>
      </c>
      <c r="AK11" s="97" t="b">
        <f>LOOKUP(AK1,'Data For Analysis'!$D$1:$DK$1,'Data For Analysis'!$D$40:$DK$40)</f>
        <v>0</v>
      </c>
      <c r="AL11" s="97" t="b">
        <f>LOOKUP(AL1,'Data For Analysis'!$D$1:$DK$1,'Data For Analysis'!$D$40:$DK$40)</f>
        <v>0</v>
      </c>
      <c r="AM11" s="97" t="b">
        <f>LOOKUP(AM1,'Data For Analysis'!$D$1:$DK$1,'Data For Analysis'!$D$40:$DK$40)</f>
        <v>0</v>
      </c>
      <c r="AN11" s="97" t="b">
        <f>LOOKUP(AN1,'Data For Analysis'!$D$1:$DK$1,'Data For Analysis'!$D$40:$DK$40)</f>
        <v>0</v>
      </c>
      <c r="AO11" s="97" t="b">
        <f>LOOKUP(AO1,'Data For Analysis'!$D$1:$DK$1,'Data For Analysis'!$D$40:$DK$40)</f>
        <v>0</v>
      </c>
      <c r="AP11" s="97" t="b">
        <f>LOOKUP(AP1,'Data For Analysis'!$D$1:$DK$1,'Data For Analysis'!$D$40:$DK$40)</f>
        <v>0</v>
      </c>
      <c r="AQ11" s="97" t="b">
        <f>LOOKUP(AQ1,'Data For Analysis'!$D$1:$DK$1,'Data For Analysis'!$D$40:$DK$40)</f>
        <v>0</v>
      </c>
      <c r="AR11" s="97" t="b">
        <f>LOOKUP(AR1,'Data For Analysis'!$D$1:$DK$1,'Data For Analysis'!$D$40:$DK$40)</f>
        <v>0</v>
      </c>
      <c r="AS11" s="97" t="b">
        <f>LOOKUP(AS1,'Data For Analysis'!$D$1:$DK$1,'Data For Analysis'!$D$40:$DK$40)</f>
        <v>0</v>
      </c>
      <c r="AT11" s="97" t="b">
        <f>LOOKUP(AT1,'Data For Analysis'!$D$1:$DK$1,'Data For Analysis'!$D$40:$DK$40)</f>
        <v>0</v>
      </c>
      <c r="AU11" s="97" t="b">
        <f>LOOKUP(AU1,'Data For Analysis'!$D$1:$DK$1,'Data For Analysis'!$D$40:$DK$40)</f>
        <v>0</v>
      </c>
      <c r="AV11" s="97" t="b">
        <f>LOOKUP(AV1,'Data For Analysis'!$D$1:$DK$1,'Data For Analysis'!$D$40:$DK$40)</f>
        <v>0</v>
      </c>
      <c r="AW11" s="97" t="b">
        <f>LOOKUP(AW1,'Data For Analysis'!$D$1:$DK$1,'Data For Analysis'!$D$40:$DK$40)</f>
        <v>0</v>
      </c>
      <c r="AX11" s="97" t="b">
        <f>LOOKUP(AX1,'Data For Analysis'!$D$1:$DK$1,'Data For Analysis'!$D$40:$DK$40)</f>
        <v>0</v>
      </c>
      <c r="AY11" s="97" t="b">
        <f>LOOKUP(AY1,'Data For Analysis'!$D$1:$DK$1,'Data For Analysis'!$D$40:$DK$40)</f>
        <v>1</v>
      </c>
      <c r="AZ11" s="97" t="b">
        <f>LOOKUP(AZ1,'Data For Analysis'!$D$1:$DK$1,'Data For Analysis'!$D$40:$DK$40)</f>
        <v>0</v>
      </c>
      <c r="BA11" s="97" t="b">
        <f>LOOKUP(BA1,'Data For Analysis'!$D$1:$DK$1,'Data For Analysis'!$D$40:$DK$40)</f>
        <v>0</v>
      </c>
      <c r="BB11" s="97" t="b">
        <f>LOOKUP(BB1,'Data For Analysis'!$D$1:$DK$1,'Data For Analysis'!$D$40:$DK$40)</f>
        <v>0</v>
      </c>
      <c r="BC11" s="97" t="b">
        <f>LOOKUP(BC1,'Data For Analysis'!$D$1:$DK$1,'Data For Analysis'!$D$40:$DK$40)</f>
        <v>0</v>
      </c>
      <c r="BD11" s="97" t="b">
        <f>LOOKUP(BD1,'Data For Analysis'!$D$1:$DK$1,'Data For Analysis'!$D$40:$DK$40)</f>
        <v>0</v>
      </c>
      <c r="BE11" s="97" t="b">
        <f>LOOKUP(BE1,'Data For Analysis'!$D$1:$DK$1,'Data For Analysis'!$D$40:$DK$40)</f>
        <v>0</v>
      </c>
      <c r="BF11" s="97" t="b">
        <f>LOOKUP(BF1,'Data For Analysis'!$D$1:$DK$1,'Data For Analysis'!$D$40:$DK$40)</f>
        <v>0</v>
      </c>
      <c r="BG11" s="97" t="b">
        <f>LOOKUP(BG1,'Data For Analysis'!$D$1:$DK$1,'Data For Analysis'!$D$40:$DK$40)</f>
        <v>0</v>
      </c>
      <c r="BH11" s="97" t="b">
        <f>LOOKUP(BH1,'Data For Analysis'!$D$1:$DK$1,'Data For Analysis'!$D$40:$DK$40)</f>
        <v>0</v>
      </c>
      <c r="BI11" s="97" t="b">
        <f>LOOKUP(BI1,'Data For Analysis'!$D$1:$DK$1,'Data For Analysis'!$D$40:$DK$40)</f>
        <v>0</v>
      </c>
      <c r="BJ11" s="97" t="b">
        <f>LOOKUP(BJ1,'Data For Analysis'!$D$1:$DK$1,'Data For Analysis'!$D$40:$DK$40)</f>
        <v>0</v>
      </c>
      <c r="BK11" s="97" t="b">
        <f>LOOKUP(BK1,'Data For Analysis'!$D$1:$DK$1,'Data For Analysis'!$D$40:$DK$40)</f>
        <v>0</v>
      </c>
      <c r="BL11" s="97" t="b">
        <f>LOOKUP(BL1,'Data For Analysis'!$D$1:$DK$1,'Data For Analysis'!$D$40:$DK$40)</f>
        <v>0</v>
      </c>
      <c r="BM11" s="97" t="b">
        <f>LOOKUP(BM1,'Data For Analysis'!$D$1:$DK$1,'Data For Analysis'!$D$40:$DK$40)</f>
        <v>0</v>
      </c>
      <c r="BN11" s="97" t="b">
        <f>LOOKUP(BN1,'Data For Analysis'!$D$1:$DK$1,'Data For Analysis'!$D$40:$DK$40)</f>
        <v>0</v>
      </c>
      <c r="BO11" s="97" t="b">
        <f>LOOKUP(BO1,'Data For Analysis'!$D$1:$DK$1,'Data For Analysis'!$D$40:$DK$40)</f>
        <v>0</v>
      </c>
      <c r="BP11" s="97" t="b">
        <f>LOOKUP(BP1,'Data For Analysis'!$D$1:$DK$1,'Data For Analysis'!$D$40:$DK$40)</f>
        <v>0</v>
      </c>
      <c r="BQ11" s="97" t="b">
        <f>LOOKUP(BQ1,'Data For Analysis'!$D$1:$DK$1,'Data For Analysis'!$D$40:$DK$40)</f>
        <v>0</v>
      </c>
      <c r="BR11" s="97" t="b">
        <f>LOOKUP(BR1,'Data For Analysis'!$D$1:$DK$1,'Data For Analysis'!$D$40:$DK$40)</f>
        <v>0</v>
      </c>
      <c r="BS11" s="97" t="b">
        <f>LOOKUP(BS1,'Data For Analysis'!$D$1:$DK$1,'Data For Analysis'!$D$40:$DK$40)</f>
        <v>1</v>
      </c>
      <c r="BT11" s="97" t="b">
        <f>LOOKUP(BT1,'Data For Analysis'!$D$1:$DK$1,'Data For Analysis'!$D$40:$DK$40)</f>
        <v>0</v>
      </c>
      <c r="BU11" s="97" t="b">
        <f>LOOKUP(BU1,'Data For Analysis'!$D$1:$DK$1,'Data For Analysis'!$D$40:$DK$40)</f>
        <v>0</v>
      </c>
      <c r="BV11" s="97" t="b">
        <f>LOOKUP(BV1,'Data For Analysis'!$D$1:$DK$1,'Data For Analysis'!$D$40:$DK$40)</f>
        <v>0</v>
      </c>
      <c r="BW11" s="97" t="b">
        <f>LOOKUP(BW1,'Data For Analysis'!$D$1:$DK$1,'Data For Analysis'!$D$40:$DK$40)</f>
        <v>0</v>
      </c>
      <c r="BX11" s="97" t="b">
        <f>LOOKUP(BX1,'Data For Analysis'!$D$1:$DK$1,'Data For Analysis'!$D$40:$DK$40)</f>
        <v>0</v>
      </c>
      <c r="BY11" s="97" t="b">
        <f>LOOKUP(BY1,'Data For Analysis'!$D$1:$DK$1,'Data For Analysis'!$D$40:$DK$40)</f>
        <v>0</v>
      </c>
      <c r="BZ11" s="97" t="b">
        <f>LOOKUP(BZ1,'Data For Analysis'!$D$1:$DK$1,'Data For Analysis'!$D$40:$DK$40)</f>
        <v>0</v>
      </c>
      <c r="CA11" s="97" t="b">
        <f>LOOKUP(CA1,'Data For Analysis'!$D$1:$DK$1,'Data For Analysis'!$D$40:$DK$40)</f>
        <v>0</v>
      </c>
      <c r="CB11" s="97" t="b">
        <f>LOOKUP(CB1,'Data For Analysis'!$D$1:$DK$1,'Data For Analysis'!$D$40:$DK$40)</f>
        <v>0</v>
      </c>
      <c r="CC11" s="97" t="b">
        <f>LOOKUP(CC1,'Data For Analysis'!$D$1:$DK$1,'Data For Analysis'!$D$40:$DK$40)</f>
        <v>0</v>
      </c>
      <c r="CD11" s="97" t="b">
        <f>LOOKUP(CD1,'Data For Analysis'!$D$1:$DK$1,'Data For Analysis'!$D$40:$DK$40)</f>
        <v>0</v>
      </c>
      <c r="CE11" s="97" t="b">
        <f>LOOKUP(CE1,'Data For Analysis'!$D$1:$DK$1,'Data For Analysis'!$D$40:$DK$40)</f>
        <v>0</v>
      </c>
      <c r="CF11" s="97" t="b">
        <f>LOOKUP(CF1,'Data For Analysis'!$D$1:$DK$1,'Data For Analysis'!$D$40:$DK$40)</f>
        <v>0</v>
      </c>
      <c r="CG11" s="97" t="b">
        <f>LOOKUP(CG1,'Data For Analysis'!$D$1:$DK$1,'Data For Analysis'!$D$40:$DK$40)</f>
        <v>0</v>
      </c>
      <c r="CH11" s="97" t="b">
        <f>LOOKUP(CH1,'Data For Analysis'!$D$1:$DK$1,'Data For Analysis'!$D$40:$DK$40)</f>
        <v>0</v>
      </c>
      <c r="CI11" s="97" t="b">
        <f>LOOKUP(CI1,'Data For Analysis'!$D$1:$DK$1,'Data For Analysis'!$D$40:$DK$40)</f>
        <v>0</v>
      </c>
      <c r="CJ11" s="97" t="b">
        <f>LOOKUP(CJ1,'Data For Analysis'!$D$1:$DK$1,'Data For Analysis'!$D$40:$DK$40)</f>
        <v>0</v>
      </c>
      <c r="CK11" s="97" t="b">
        <f>LOOKUP(CK1,'Data For Analysis'!$D$1:$DK$1,'Data For Analysis'!$D$40:$DK$40)</f>
        <v>1</v>
      </c>
      <c r="CL11" s="97" t="b">
        <f>LOOKUP(CL1,'Data For Analysis'!$D$1:$DK$1,'Data For Analysis'!$D$40:$DK$40)</f>
        <v>0</v>
      </c>
      <c r="CM11" s="97" t="b">
        <f>LOOKUP(CM1,'Data For Analysis'!$D$1:$DK$1,'Data For Analysis'!$D$40:$DK$40)</f>
        <v>0</v>
      </c>
      <c r="DQ11" s="376"/>
    </row>
    <row r="12" spans="1:121" x14ac:dyDescent="0.25">
      <c r="A12" s="345"/>
      <c r="DQ12" s="376"/>
    </row>
    <row r="13" spans="1:121" ht="15.75" thickBot="1" x14ac:dyDescent="0.3">
      <c r="A13" s="345"/>
      <c r="DQ13" s="376"/>
    </row>
    <row r="14" spans="1:121" ht="15.75" thickBot="1" x14ac:dyDescent="0.3">
      <c r="A14" s="345"/>
      <c r="C14" s="148"/>
      <c r="D14" s="149" t="s">
        <v>259</v>
      </c>
      <c r="E14" s="150" t="s">
        <v>264</v>
      </c>
    </row>
    <row r="15" spans="1:121" ht="15.75" thickBot="1" x14ac:dyDescent="0.3">
      <c r="A15" s="345"/>
      <c r="C15" s="137" t="s">
        <v>260</v>
      </c>
      <c r="D15" s="194">
        <f>SUMIF($D7:$DP7,"&gt;0",$D7:$DP7)/COUNTIF($D7:$DP7,"&gt;0")</f>
        <v>35.762339837398372</v>
      </c>
      <c r="E15" s="194">
        <f>SUMIF($D9:$DP9,"&gt;0",$D9:$DP9)/COUNTIF($D9:$DP9,"&gt;0")</f>
        <v>41.008450000000003</v>
      </c>
      <c r="G15" s="377" t="s">
        <v>352</v>
      </c>
      <c r="H15" s="378"/>
      <c r="I15" s="378"/>
      <c r="J15" s="379"/>
    </row>
    <row r="16" spans="1:121" x14ac:dyDescent="0.25">
      <c r="A16" s="345"/>
      <c r="C16" s="137" t="s">
        <v>261</v>
      </c>
      <c r="D16" s="194">
        <f t="array" ref="D16">STDEV(IF(D7:DP7&gt;0,D7:DP7))</f>
        <v>13.993815951509809</v>
      </c>
      <c r="E16" s="194">
        <f t="array" ref="E16">STDEV(IF(D9:DP9&gt;0,D9:DP9))</f>
        <v>8.8214059273451362</v>
      </c>
    </row>
    <row r="17" spans="1:13" x14ac:dyDescent="0.25">
      <c r="A17" s="345"/>
      <c r="C17" s="137" t="s">
        <v>262</v>
      </c>
      <c r="D17" s="194">
        <f>SUMIF($D8:$DP8,"&gt;0",$D8:$DP8)/COUNTIF($D8:$DP8,"&gt;0")</f>
        <v>21.872288617886177</v>
      </c>
      <c r="E17" s="194">
        <f>SUMIF($D10:$DP10,"&gt;0",$D10:$DP10)/COUNTIF($D10:$DP10,"&gt;0")</f>
        <v>21.873116666666665</v>
      </c>
    </row>
    <row r="18" spans="1:13" x14ac:dyDescent="0.25">
      <c r="A18" s="345"/>
      <c r="C18" s="137" t="s">
        <v>263</v>
      </c>
      <c r="D18" s="194">
        <f t="array" ref="D18">STDEV(IF(D8:DP8&gt;0,D8:DP8))</f>
        <v>7.4227134699100832</v>
      </c>
      <c r="E18" s="194">
        <f t="array" ref="E18">STDEV(IF(D10:DQ10&gt;0,D10:DQ10))</f>
        <v>10.691283376735775</v>
      </c>
    </row>
    <row r="19" spans="1:13" ht="15.75" thickBot="1" x14ac:dyDescent="0.3">
      <c r="A19" s="345"/>
      <c r="C19" s="138" t="s">
        <v>265</v>
      </c>
      <c r="D19" s="139">
        <f>COUNTIF(D11:DP11,"FALSE")</f>
        <v>82</v>
      </c>
      <c r="E19" s="151">
        <f>COUNTIF(D11:DP11,"TRUE")</f>
        <v>6</v>
      </c>
      <c r="F19" s="164" t="s">
        <v>272</v>
      </c>
    </row>
    <row r="20" spans="1:13" x14ac:dyDescent="0.25">
      <c r="A20" s="345"/>
    </row>
    <row r="21" spans="1:13" x14ac:dyDescent="0.25">
      <c r="A21" s="345"/>
    </row>
    <row r="22" spans="1:13" x14ac:dyDescent="0.25">
      <c r="A22" s="345"/>
    </row>
    <row r="23" spans="1:13" ht="19.5" thickBot="1" x14ac:dyDescent="0.35">
      <c r="A23" s="345"/>
      <c r="C23" s="392" t="s">
        <v>266</v>
      </c>
      <c r="D23" s="393"/>
      <c r="E23" s="393"/>
      <c r="F23" s="393"/>
      <c r="G23" s="394"/>
      <c r="I23" s="392" t="s">
        <v>103</v>
      </c>
      <c r="J23" s="393"/>
      <c r="K23" s="393"/>
      <c r="L23" s="393"/>
      <c r="M23" s="394"/>
    </row>
    <row r="24" spans="1:13" ht="15.75" thickBot="1" x14ac:dyDescent="0.3">
      <c r="A24" s="345"/>
      <c r="C24" s="152" t="s">
        <v>104</v>
      </c>
      <c r="D24" s="153" t="s">
        <v>267</v>
      </c>
      <c r="E24" s="141"/>
      <c r="F24" s="141"/>
      <c r="G24" s="142"/>
      <c r="I24" s="152" t="s">
        <v>104</v>
      </c>
      <c r="J24" s="153" t="s">
        <v>267</v>
      </c>
      <c r="K24" s="141"/>
      <c r="L24" s="141"/>
      <c r="M24" s="142"/>
    </row>
    <row r="25" spans="1:13" x14ac:dyDescent="0.25">
      <c r="A25" s="345"/>
      <c r="C25" s="154"/>
      <c r="D25" s="141"/>
      <c r="E25" s="141"/>
      <c r="F25" s="141"/>
      <c r="G25" s="142"/>
      <c r="I25" s="154"/>
      <c r="J25" s="141"/>
      <c r="K25" s="141"/>
      <c r="L25" s="141"/>
      <c r="M25" s="142"/>
    </row>
    <row r="26" spans="1:13" x14ac:dyDescent="0.25">
      <c r="A26" s="345"/>
      <c r="C26" s="395" t="s">
        <v>269</v>
      </c>
      <c r="D26" s="396"/>
      <c r="E26" s="141"/>
      <c r="F26" s="396" t="s">
        <v>270</v>
      </c>
      <c r="G26" s="397"/>
      <c r="I26" s="395" t="s">
        <v>268</v>
      </c>
      <c r="J26" s="396"/>
      <c r="K26" s="141"/>
      <c r="L26" s="396" t="s">
        <v>271</v>
      </c>
      <c r="M26" s="397"/>
    </row>
    <row r="27" spans="1:13" x14ac:dyDescent="0.25">
      <c r="A27" s="345"/>
      <c r="C27" s="155" t="s">
        <v>88</v>
      </c>
      <c r="D27" s="123">
        <f>E15</f>
        <v>41.008450000000003</v>
      </c>
      <c r="E27" s="141"/>
      <c r="F27" s="123" t="s">
        <v>88</v>
      </c>
      <c r="G27" s="125">
        <f>D15</f>
        <v>35.762339837398372</v>
      </c>
      <c r="I27" s="155" t="s">
        <v>88</v>
      </c>
      <c r="J27" s="123">
        <f>E17</f>
        <v>21.873116666666665</v>
      </c>
      <c r="K27" s="141"/>
      <c r="L27" s="123" t="s">
        <v>88</v>
      </c>
      <c r="M27" s="125">
        <f>D17</f>
        <v>21.872288617886177</v>
      </c>
    </row>
    <row r="28" spans="1:13" x14ac:dyDescent="0.25">
      <c r="A28" s="345"/>
      <c r="C28" s="155" t="s">
        <v>92</v>
      </c>
      <c r="D28" s="123">
        <f>E16</f>
        <v>8.8214059273451362</v>
      </c>
      <c r="E28" s="141"/>
      <c r="F28" s="123" t="s">
        <v>92</v>
      </c>
      <c r="G28" s="125">
        <f>D16</f>
        <v>13.993815951509809</v>
      </c>
      <c r="I28" s="155" t="s">
        <v>92</v>
      </c>
      <c r="J28" s="123">
        <f>E18</f>
        <v>10.691283376735775</v>
      </c>
      <c r="K28" s="141"/>
      <c r="L28" s="123" t="s">
        <v>92</v>
      </c>
      <c r="M28" s="125">
        <f>D18</f>
        <v>7.4227134699100832</v>
      </c>
    </row>
    <row r="29" spans="1:13" x14ac:dyDescent="0.25">
      <c r="A29" s="345"/>
      <c r="C29" s="155" t="s">
        <v>105</v>
      </c>
      <c r="D29" s="124">
        <f>E19</f>
        <v>6</v>
      </c>
      <c r="E29" s="141"/>
      <c r="F29" s="123" t="s">
        <v>105</v>
      </c>
      <c r="G29" s="126">
        <f>D19</f>
        <v>82</v>
      </c>
      <c r="I29" s="155" t="s">
        <v>105</v>
      </c>
      <c r="J29" s="124">
        <f>E19</f>
        <v>6</v>
      </c>
      <c r="K29" s="141"/>
      <c r="L29" s="123" t="s">
        <v>105</v>
      </c>
      <c r="M29" s="126">
        <f>D19</f>
        <v>82</v>
      </c>
    </row>
    <row r="30" spans="1:13" x14ac:dyDescent="0.25">
      <c r="A30" s="345"/>
      <c r="C30" s="154"/>
      <c r="D30" s="141"/>
      <c r="E30" s="141"/>
      <c r="F30" s="141"/>
      <c r="G30" s="142"/>
      <c r="I30" s="154"/>
      <c r="J30" s="141"/>
      <c r="K30" s="141"/>
      <c r="L30" s="141"/>
      <c r="M30" s="142"/>
    </row>
    <row r="31" spans="1:13" ht="16.5" thickBot="1" x14ac:dyDescent="0.3">
      <c r="A31" s="345"/>
      <c r="C31" s="389" t="s">
        <v>106</v>
      </c>
      <c r="D31" s="390"/>
      <c r="E31" s="390"/>
      <c r="F31" s="390"/>
      <c r="G31" s="391"/>
      <c r="I31" s="389" t="s">
        <v>106</v>
      </c>
      <c r="J31" s="390"/>
      <c r="K31" s="390"/>
      <c r="L31" s="390"/>
      <c r="M31" s="391"/>
    </row>
    <row r="32" spans="1:13" ht="15.75" thickTop="1" x14ac:dyDescent="0.25">
      <c r="A32" s="345"/>
      <c r="C32" s="154" t="s">
        <v>86</v>
      </c>
      <c r="D32" s="21">
        <f>ROUNDDOWN(((((D28^2)/D29)+((G28^2)/G29))^2)/(((((D28^2)/D29)^2)/(D29-1))+((((G28^2)/G29)^2)/(G29-1))),0)</f>
        <v>6</v>
      </c>
      <c r="E32" s="141"/>
      <c r="F32" s="141"/>
      <c r="G32" s="142"/>
      <c r="I32" s="154" t="s">
        <v>86</v>
      </c>
      <c r="J32" s="21">
        <f>ROUNDDOWN(((((J28^2)/J29)+((M28^2)/M29))^2)/(((((J28^2)/J29)^2)/(J29-1))+((((M28^2)/M29)^2)/(M29-1))),0)</f>
        <v>5</v>
      </c>
      <c r="K32" s="141"/>
      <c r="L32" s="141"/>
      <c r="M32" s="142"/>
    </row>
    <row r="33" spans="1:13" ht="15.75" thickBot="1" x14ac:dyDescent="0.3">
      <c r="A33" s="345"/>
      <c r="C33" s="158" t="s">
        <v>108</v>
      </c>
      <c r="D33" s="39">
        <v>0.05</v>
      </c>
      <c r="E33" s="39"/>
      <c r="F33" s="39"/>
      <c r="G33" s="159"/>
      <c r="H33" s="35"/>
      <c r="I33" s="158" t="s">
        <v>108</v>
      </c>
      <c r="J33" s="39">
        <v>0.05</v>
      </c>
      <c r="K33" s="39"/>
      <c r="L33" s="141"/>
      <c r="M33" s="142"/>
    </row>
    <row r="34" spans="1:13" ht="15.75" thickBot="1" x14ac:dyDescent="0.3">
      <c r="A34" s="346"/>
      <c r="C34" s="158" t="s">
        <v>131</v>
      </c>
      <c r="D34" s="284">
        <f>(D27-G27)/(SQRT(((D28^2)/D29)+((G28^2)/G29)))</f>
        <v>1.3386738809035983</v>
      </c>
      <c r="E34" s="39"/>
      <c r="F34" s="39"/>
      <c r="G34" s="159"/>
      <c r="H34" s="35"/>
      <c r="I34" s="158" t="s">
        <v>131</v>
      </c>
      <c r="J34" s="284">
        <f>(J27-M27)/(SQRT(((J28^2)/J29)+((M28^2)/M29)))</f>
        <v>1.8645538541737849E-4</v>
      </c>
      <c r="K34" s="39"/>
      <c r="L34" s="141"/>
      <c r="M34" s="142"/>
    </row>
    <row r="35" spans="1:13" x14ac:dyDescent="0.25">
      <c r="C35" s="158" t="s">
        <v>107</v>
      </c>
      <c r="D35" s="39">
        <f>TINV(D33,D32)</f>
        <v>2.4469118511449697</v>
      </c>
      <c r="E35" s="39"/>
      <c r="F35" s="39"/>
      <c r="G35" s="159"/>
      <c r="H35" s="35"/>
      <c r="I35" s="158" t="s">
        <v>107</v>
      </c>
      <c r="J35" s="39">
        <f>TINV(J33,J32)</f>
        <v>2.570581835636315</v>
      </c>
      <c r="K35" s="39"/>
      <c r="L35" s="141"/>
      <c r="M35" s="142"/>
    </row>
    <row r="36" spans="1:13" x14ac:dyDescent="0.25">
      <c r="C36" s="154"/>
      <c r="D36" s="141"/>
      <c r="E36" s="141"/>
      <c r="F36" s="141"/>
      <c r="G36" s="142"/>
      <c r="I36" s="154"/>
      <c r="J36" s="141"/>
      <c r="K36" s="141"/>
      <c r="L36" s="141"/>
      <c r="M36" s="142"/>
    </row>
    <row r="37" spans="1:13" ht="19.5" thickBot="1" x14ac:dyDescent="0.35">
      <c r="C37" s="156" t="s">
        <v>109</v>
      </c>
      <c r="D37" s="157" t="str">
        <f>IF(ABS(D34)&lt;D35,"Accept","Reject")</f>
        <v>Accept</v>
      </c>
      <c r="E37" s="143"/>
      <c r="F37" s="143"/>
      <c r="G37" s="144"/>
      <c r="I37" s="156" t="s">
        <v>109</v>
      </c>
      <c r="J37" s="157" t="str">
        <f>IF(ABS(J34)&lt;J35,"Accept","Reject")</f>
        <v>Accept</v>
      </c>
      <c r="K37" s="143"/>
      <c r="L37" s="143"/>
      <c r="M37" s="144"/>
    </row>
    <row r="39" spans="1:13" ht="15" customHeight="1" x14ac:dyDescent="0.25">
      <c r="C39" s="381" t="s">
        <v>340</v>
      </c>
      <c r="D39" s="381"/>
      <c r="E39" s="381"/>
      <c r="F39" s="381"/>
      <c r="G39" s="381"/>
      <c r="I39" s="381" t="s">
        <v>340</v>
      </c>
      <c r="J39" s="381"/>
      <c r="K39" s="381"/>
      <c r="L39" s="381"/>
      <c r="M39" s="381"/>
    </row>
    <row r="40" spans="1:13" x14ac:dyDescent="0.25">
      <c r="C40" s="381"/>
      <c r="D40" s="381"/>
      <c r="E40" s="381"/>
      <c r="F40" s="381"/>
      <c r="G40" s="381"/>
      <c r="I40" s="381"/>
      <c r="J40" s="381"/>
      <c r="K40" s="381"/>
      <c r="L40" s="381"/>
      <c r="M40" s="381"/>
    </row>
  </sheetData>
  <sortState columnSort="1" ref="D1:CM11">
    <sortCondition ref="B11:BY11"/>
  </sortState>
  <mergeCells count="13">
    <mergeCell ref="C39:G40"/>
    <mergeCell ref="I39:M40"/>
    <mergeCell ref="G15:J15"/>
    <mergeCell ref="A1:A34"/>
    <mergeCell ref="DQ1:DQ13"/>
    <mergeCell ref="C31:G31"/>
    <mergeCell ref="I23:M23"/>
    <mergeCell ref="I26:J26"/>
    <mergeCell ref="L26:M26"/>
    <mergeCell ref="I31:M31"/>
    <mergeCell ref="C23:G23"/>
    <mergeCell ref="C26:D26"/>
    <mergeCell ref="F26:G26"/>
  </mergeCells>
  <pageMargins left="0.7" right="0.7" top="0.75" bottom="0.75" header="0.3" footer="0.3"/>
  <pageSetup orientation="portrait" horizontalDpi="4294967293" verticalDpi="0"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14:formula1>
            <xm:f>'t-Distribution'!$B$4:$M$4</xm:f>
          </x14:formula1>
          <xm:sqref>J33 D33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O129"/>
  <sheetViews>
    <sheetView workbookViewId="0">
      <selection activeCell="K25" sqref="K25"/>
    </sheetView>
  </sheetViews>
  <sheetFormatPr defaultRowHeight="15" x14ac:dyDescent="0.25"/>
  <cols>
    <col min="1" max="1" width="21.28515625" customWidth="1"/>
    <col min="2" max="2" width="7.7109375" customWidth="1"/>
    <col min="3" max="3" width="27.5703125" bestFit="1" customWidth="1"/>
    <col min="4" max="4" width="11.5703125" bestFit="1" customWidth="1"/>
    <col min="5" max="5" width="17.85546875" bestFit="1" customWidth="1"/>
    <col min="6" max="6" width="16.140625" bestFit="1" customWidth="1"/>
    <col min="7" max="7" width="12" bestFit="1" customWidth="1"/>
    <col min="11" max="11" width="19.85546875" bestFit="1" customWidth="1"/>
    <col min="12" max="12" width="18.5703125" bestFit="1" customWidth="1"/>
    <col min="13" max="18" width="12" bestFit="1" customWidth="1"/>
    <col min="19" max="19" width="17.85546875" bestFit="1" customWidth="1"/>
    <col min="20" max="20" width="16.140625" bestFit="1" customWidth="1"/>
    <col min="27" max="27" width="19.140625" bestFit="1" customWidth="1"/>
  </cols>
  <sheetData>
    <row r="1" spans="1:17" ht="15.75" thickBot="1" x14ac:dyDescent="0.3"/>
    <row r="2" spans="1:17" ht="12.75" customHeight="1" x14ac:dyDescent="0.25">
      <c r="A2" s="344" t="s">
        <v>356</v>
      </c>
      <c r="C2" s="282" t="s">
        <v>274</v>
      </c>
      <c r="D2" s="228"/>
      <c r="E2" s="228"/>
      <c r="F2" s="228"/>
      <c r="G2" s="228"/>
      <c r="H2" s="228"/>
      <c r="I2" s="229"/>
      <c r="K2" s="282" t="s">
        <v>275</v>
      </c>
      <c r="L2" s="228"/>
      <c r="M2" s="228"/>
      <c r="N2" s="228"/>
      <c r="O2" s="228"/>
      <c r="P2" s="228"/>
      <c r="Q2" s="229"/>
    </row>
    <row r="3" spans="1:17" ht="12.75" customHeight="1" x14ac:dyDescent="0.25">
      <c r="A3" s="345"/>
      <c r="C3" s="44"/>
      <c r="D3" s="21"/>
      <c r="E3" s="21"/>
      <c r="F3" s="21"/>
      <c r="G3" s="21"/>
      <c r="H3" s="21"/>
      <c r="I3" s="45"/>
      <c r="K3" s="44"/>
      <c r="L3" s="21"/>
      <c r="M3" s="21"/>
      <c r="N3" s="21"/>
      <c r="O3" s="21"/>
      <c r="P3" s="21"/>
      <c r="Q3" s="45"/>
    </row>
    <row r="4" spans="1:17" ht="12.75" customHeight="1" thickBot="1" x14ac:dyDescent="0.3">
      <c r="A4" s="345"/>
      <c r="C4" s="44" t="s">
        <v>227</v>
      </c>
      <c r="D4" s="21"/>
      <c r="E4" s="21"/>
      <c r="F4" s="21"/>
      <c r="G4" s="21"/>
      <c r="H4" s="21"/>
      <c r="I4" s="45"/>
      <c r="K4" s="44" t="s">
        <v>227</v>
      </c>
      <c r="L4" s="21"/>
      <c r="M4" s="21"/>
      <c r="N4" s="21"/>
      <c r="O4" s="21"/>
      <c r="P4" s="21"/>
      <c r="Q4" s="45"/>
    </row>
    <row r="5" spans="1:17" ht="12.75" customHeight="1" x14ac:dyDescent="0.25">
      <c r="A5" s="345"/>
      <c r="C5" s="230" t="s">
        <v>228</v>
      </c>
      <c r="D5" s="238" t="s">
        <v>83</v>
      </c>
      <c r="E5" s="238" t="s">
        <v>84</v>
      </c>
      <c r="F5" s="238" t="s">
        <v>229</v>
      </c>
      <c r="G5" s="238" t="s">
        <v>85</v>
      </c>
      <c r="H5" s="21"/>
      <c r="I5" s="45"/>
      <c r="K5" s="230" t="s">
        <v>228</v>
      </c>
      <c r="L5" s="238" t="s">
        <v>83</v>
      </c>
      <c r="M5" s="238" t="s">
        <v>84</v>
      </c>
      <c r="N5" s="238" t="s">
        <v>229</v>
      </c>
      <c r="O5" s="238" t="s">
        <v>85</v>
      </c>
      <c r="P5" s="21"/>
      <c r="Q5" s="45"/>
    </row>
    <row r="6" spans="1:17" ht="12.75" customHeight="1" x14ac:dyDescent="0.25">
      <c r="A6" s="345"/>
      <c r="C6" s="231" t="s">
        <v>276</v>
      </c>
      <c r="D6" s="33">
        <v>2</v>
      </c>
      <c r="E6" s="33">
        <v>55.134</v>
      </c>
      <c r="F6" s="33">
        <v>27.567</v>
      </c>
      <c r="G6" s="33">
        <v>4.5965120000000006</v>
      </c>
      <c r="H6" s="21"/>
      <c r="I6" s="45"/>
      <c r="K6" s="231" t="s">
        <v>276</v>
      </c>
      <c r="L6" s="33">
        <v>2</v>
      </c>
      <c r="M6" s="33">
        <v>71.150000000000006</v>
      </c>
      <c r="N6" s="33">
        <v>35.575000000000003</v>
      </c>
      <c r="O6" s="33">
        <v>1.6928000000000845E-2</v>
      </c>
      <c r="P6" s="21"/>
      <c r="Q6" s="45"/>
    </row>
    <row r="7" spans="1:17" ht="12.75" customHeight="1" x14ac:dyDescent="0.25">
      <c r="A7" s="345"/>
      <c r="C7" s="231" t="s">
        <v>1</v>
      </c>
      <c r="D7" s="33">
        <v>59</v>
      </c>
      <c r="E7" s="33">
        <v>1211.0848999999998</v>
      </c>
      <c r="F7" s="33">
        <v>20.526862711864403</v>
      </c>
      <c r="G7" s="33">
        <v>56.829027694447646</v>
      </c>
      <c r="H7" s="21"/>
      <c r="I7" s="45"/>
      <c r="K7" s="231" t="s">
        <v>1</v>
      </c>
      <c r="L7" s="33">
        <v>59</v>
      </c>
      <c r="M7" s="33">
        <v>2112.0447000000004</v>
      </c>
      <c r="N7" s="33">
        <v>35.797367796610175</v>
      </c>
      <c r="O7" s="33">
        <v>192.45664953053472</v>
      </c>
      <c r="P7" s="21"/>
      <c r="Q7" s="45"/>
    </row>
    <row r="8" spans="1:17" ht="12.75" customHeight="1" x14ac:dyDescent="0.25">
      <c r="A8" s="345"/>
      <c r="C8" s="231" t="s">
        <v>69</v>
      </c>
      <c r="D8" s="33">
        <v>16</v>
      </c>
      <c r="E8" s="33">
        <v>414.65969999999999</v>
      </c>
      <c r="F8" s="33">
        <v>25.916231249999999</v>
      </c>
      <c r="G8" s="33">
        <v>66.919696595625041</v>
      </c>
      <c r="H8" s="21"/>
      <c r="I8" s="45"/>
      <c r="K8" s="231" t="s">
        <v>69</v>
      </c>
      <c r="L8" s="33">
        <v>16</v>
      </c>
      <c r="M8" s="33">
        <v>583.43406666666669</v>
      </c>
      <c r="N8" s="33">
        <v>36.464629166666668</v>
      </c>
      <c r="O8" s="33">
        <v>250.96659170116644</v>
      </c>
      <c r="P8" s="21"/>
      <c r="Q8" s="45"/>
    </row>
    <row r="9" spans="1:17" ht="12.75" customHeight="1" x14ac:dyDescent="0.25">
      <c r="A9" s="345"/>
      <c r="C9" s="231" t="s">
        <v>68</v>
      </c>
      <c r="D9" s="33">
        <v>8</v>
      </c>
      <c r="E9" s="33">
        <v>182.54196666666667</v>
      </c>
      <c r="F9" s="33">
        <v>22.817745833333333</v>
      </c>
      <c r="G9" s="33">
        <v>38.410356602519904</v>
      </c>
      <c r="H9" s="21"/>
      <c r="I9" s="45"/>
      <c r="K9" s="231" t="s">
        <v>68</v>
      </c>
      <c r="L9" s="33">
        <v>8</v>
      </c>
      <c r="M9" s="33">
        <v>295.3526</v>
      </c>
      <c r="N9" s="33">
        <v>36.919074999999999</v>
      </c>
      <c r="O9" s="33">
        <v>164.03562950500003</v>
      </c>
      <c r="P9" s="21"/>
      <c r="Q9" s="45"/>
    </row>
    <row r="10" spans="1:17" ht="12.75" customHeight="1" thickBot="1" x14ac:dyDescent="0.3">
      <c r="A10" s="345"/>
      <c r="C10" s="232" t="s">
        <v>71</v>
      </c>
      <c r="D10" s="34">
        <v>3</v>
      </c>
      <c r="E10" s="34">
        <v>61.345799999999997</v>
      </c>
      <c r="F10" s="34">
        <v>20.448599999999999</v>
      </c>
      <c r="G10" s="34">
        <v>7.2267230800001698</v>
      </c>
      <c r="H10" s="21"/>
      <c r="I10" s="45"/>
      <c r="K10" s="232" t="s">
        <v>71</v>
      </c>
      <c r="L10" s="34">
        <v>3</v>
      </c>
      <c r="M10" s="34">
        <v>116.5812</v>
      </c>
      <c r="N10" s="34">
        <v>38.860399999999998</v>
      </c>
      <c r="O10" s="34">
        <v>146.70533427999999</v>
      </c>
      <c r="P10" s="21"/>
      <c r="Q10" s="45"/>
    </row>
    <row r="11" spans="1:17" ht="12.75" customHeight="1" x14ac:dyDescent="0.25">
      <c r="A11" s="345"/>
      <c r="C11" s="44"/>
      <c r="D11" s="21"/>
      <c r="E11" s="21"/>
      <c r="F11" s="21"/>
      <c r="G11" s="21"/>
      <c r="H11" s="21"/>
      <c r="I11" s="45"/>
      <c r="K11" s="44"/>
      <c r="L11" s="21"/>
      <c r="M11" s="21"/>
      <c r="N11" s="21"/>
      <c r="O11" s="21"/>
      <c r="P11" s="21"/>
      <c r="Q11" s="45"/>
    </row>
    <row r="12" spans="1:17" ht="12.75" customHeight="1" x14ac:dyDescent="0.25">
      <c r="A12" s="345"/>
      <c r="C12" s="44"/>
      <c r="D12" s="21"/>
      <c r="E12" s="21"/>
      <c r="F12" s="21"/>
      <c r="G12" s="21"/>
      <c r="H12" s="21"/>
      <c r="I12" s="45"/>
      <c r="K12" s="44"/>
      <c r="L12" s="21"/>
      <c r="M12" s="21"/>
      <c r="N12" s="21"/>
      <c r="O12" s="21"/>
      <c r="P12" s="21"/>
      <c r="Q12" s="45"/>
    </row>
    <row r="13" spans="1:17" ht="12.75" customHeight="1" thickBot="1" x14ac:dyDescent="0.3">
      <c r="A13" s="345"/>
      <c r="C13" s="44" t="s">
        <v>230</v>
      </c>
      <c r="D13" s="21"/>
      <c r="E13" s="21"/>
      <c r="F13" s="21"/>
      <c r="G13" s="21"/>
      <c r="H13" s="21"/>
      <c r="I13" s="45"/>
      <c r="K13" s="44" t="s">
        <v>230</v>
      </c>
      <c r="L13" s="21"/>
      <c r="M13" s="21"/>
      <c r="N13" s="21"/>
      <c r="O13" s="21"/>
      <c r="P13" s="21"/>
      <c r="Q13" s="45"/>
    </row>
    <row r="14" spans="1:17" ht="12.75" customHeight="1" thickBot="1" x14ac:dyDescent="0.3">
      <c r="A14" s="345"/>
      <c r="C14" s="230" t="s">
        <v>231</v>
      </c>
      <c r="D14" s="238" t="s">
        <v>232</v>
      </c>
      <c r="E14" s="238" t="s">
        <v>86</v>
      </c>
      <c r="F14" s="238" t="s">
        <v>233</v>
      </c>
      <c r="G14" s="238" t="s">
        <v>87</v>
      </c>
      <c r="H14" s="236" t="s">
        <v>234</v>
      </c>
      <c r="I14" s="233" t="s">
        <v>235</v>
      </c>
      <c r="K14" s="230" t="s">
        <v>231</v>
      </c>
      <c r="L14" s="238" t="s">
        <v>232</v>
      </c>
      <c r="M14" s="238" t="s">
        <v>86</v>
      </c>
      <c r="N14" s="238" t="s">
        <v>233</v>
      </c>
      <c r="O14" s="238" t="s">
        <v>87</v>
      </c>
      <c r="P14" s="236" t="s">
        <v>234</v>
      </c>
      <c r="Q14" s="233" t="s">
        <v>235</v>
      </c>
    </row>
    <row r="15" spans="1:17" ht="12.75" customHeight="1" thickBot="1" x14ac:dyDescent="0.3">
      <c r="A15" s="345"/>
      <c r="C15" s="231" t="s">
        <v>236</v>
      </c>
      <c r="D15" s="33">
        <v>446.54689121899719</v>
      </c>
      <c r="E15" s="33">
        <v>4</v>
      </c>
      <c r="F15" s="33">
        <v>111.6367228047493</v>
      </c>
      <c r="G15" s="33">
        <v>2.0196706360171839</v>
      </c>
      <c r="H15" s="269">
        <v>9.9149276933053643E-2</v>
      </c>
      <c r="I15" s="234">
        <v>2.4816614292470072</v>
      </c>
      <c r="K15" s="231" t="s">
        <v>236</v>
      </c>
      <c r="L15" s="33">
        <v>36.273302231604248</v>
      </c>
      <c r="M15" s="33">
        <v>4</v>
      </c>
      <c r="N15" s="33">
        <v>9.068325557901062</v>
      </c>
      <c r="O15" s="33">
        <v>4.5982441444161311E-2</v>
      </c>
      <c r="P15" s="269">
        <v>0.99593761987616425</v>
      </c>
      <c r="Q15" s="234">
        <v>2.4816614292470072</v>
      </c>
    </row>
    <row r="16" spans="1:17" ht="12.75" customHeight="1" x14ac:dyDescent="0.25">
      <c r="A16" s="345"/>
      <c r="C16" s="231" t="s">
        <v>237</v>
      </c>
      <c r="D16" s="33">
        <v>4587.80150958998</v>
      </c>
      <c r="E16" s="33">
        <v>83</v>
      </c>
      <c r="F16" s="33">
        <v>55.274716983011807</v>
      </c>
      <c r="G16" s="33"/>
      <c r="H16" s="33"/>
      <c r="I16" s="234"/>
      <c r="K16" s="231" t="s">
        <v>237</v>
      </c>
      <c r="L16" s="33">
        <v>16368.661551383537</v>
      </c>
      <c r="M16" s="33">
        <v>83</v>
      </c>
      <c r="N16" s="33">
        <v>197.21278977570526</v>
      </c>
      <c r="O16" s="33"/>
      <c r="P16" s="33"/>
      <c r="Q16" s="234"/>
    </row>
    <row r="17" spans="1:93" ht="12.75" customHeight="1" x14ac:dyDescent="0.25">
      <c r="A17" s="345"/>
      <c r="C17" s="231"/>
      <c r="D17" s="33"/>
      <c r="E17" s="33"/>
      <c r="F17" s="33"/>
      <c r="G17" s="33"/>
      <c r="H17" s="33"/>
      <c r="I17" s="234"/>
      <c r="K17" s="231"/>
      <c r="L17" s="33"/>
      <c r="M17" s="33"/>
      <c r="N17" s="33"/>
      <c r="O17" s="33"/>
      <c r="P17" s="33"/>
      <c r="Q17" s="234"/>
    </row>
    <row r="18" spans="1:93" ht="12.75" customHeight="1" thickBot="1" x14ac:dyDescent="0.3">
      <c r="A18" s="345"/>
      <c r="C18" s="232" t="s">
        <v>238</v>
      </c>
      <c r="D18" s="34">
        <v>5034.3484008089772</v>
      </c>
      <c r="E18" s="34">
        <v>87</v>
      </c>
      <c r="F18" s="34"/>
      <c r="G18" s="34"/>
      <c r="H18" s="34"/>
      <c r="I18" s="235"/>
      <c r="K18" s="232" t="s">
        <v>238</v>
      </c>
      <c r="L18" s="34">
        <v>16404.934853615141</v>
      </c>
      <c r="M18" s="34">
        <v>87</v>
      </c>
      <c r="N18" s="34"/>
      <c r="O18" s="34"/>
      <c r="P18" s="34"/>
      <c r="Q18" s="235"/>
    </row>
    <row r="19" spans="1:93" ht="12.75" customHeight="1" thickBot="1" x14ac:dyDescent="0.3">
      <c r="A19" s="345"/>
      <c r="C19" s="44"/>
      <c r="D19" s="21"/>
      <c r="E19" s="21"/>
      <c r="F19" s="21"/>
      <c r="G19" s="21"/>
      <c r="H19" s="21"/>
      <c r="I19" s="45"/>
      <c r="K19" s="44"/>
      <c r="L19" s="21"/>
      <c r="M19" s="21"/>
      <c r="N19" s="21"/>
      <c r="O19" s="21"/>
      <c r="P19" s="21"/>
      <c r="Q19" s="45"/>
    </row>
    <row r="20" spans="1:93" ht="12.75" customHeight="1" thickBot="1" x14ac:dyDescent="0.3">
      <c r="A20" s="345"/>
      <c r="C20" s="404" t="s">
        <v>353</v>
      </c>
      <c r="D20" s="405"/>
      <c r="E20" s="405"/>
      <c r="F20" s="405"/>
      <c r="G20" s="405"/>
      <c r="H20" s="405"/>
      <c r="I20" s="406"/>
      <c r="K20" s="407" t="s">
        <v>353</v>
      </c>
      <c r="L20" s="408"/>
      <c r="M20" s="408"/>
      <c r="N20" s="408"/>
      <c r="O20" s="408"/>
      <c r="P20" s="408"/>
      <c r="Q20" s="409"/>
    </row>
    <row r="21" spans="1:93" ht="12.75" customHeight="1" x14ac:dyDescent="0.25">
      <c r="A21" s="345"/>
    </row>
    <row r="22" spans="1:93" ht="12.75" customHeight="1" x14ac:dyDescent="0.25">
      <c r="A22" s="345"/>
    </row>
    <row r="23" spans="1:93" ht="12.75" customHeight="1" x14ac:dyDescent="0.25">
      <c r="A23" s="345"/>
    </row>
    <row r="24" spans="1:93" ht="12.75" customHeight="1" x14ac:dyDescent="0.25">
      <c r="A24" s="345"/>
    </row>
    <row r="25" spans="1:93" ht="12.75" customHeight="1" x14ac:dyDescent="0.25">
      <c r="A25" s="345"/>
    </row>
    <row r="26" spans="1:93" ht="12.75" customHeight="1" thickBot="1" x14ac:dyDescent="0.3">
      <c r="A26" s="345"/>
    </row>
    <row r="27" spans="1:93" ht="19.5" thickBot="1" x14ac:dyDescent="0.35">
      <c r="A27" s="345"/>
      <c r="C27" s="398" t="s">
        <v>355</v>
      </c>
      <c r="D27" s="399"/>
      <c r="E27" s="400"/>
    </row>
    <row r="28" spans="1:93" s="6" customFormat="1" x14ac:dyDescent="0.25">
      <c r="A28" s="345"/>
      <c r="C28" s="225" t="s">
        <v>99</v>
      </c>
      <c r="D28" s="274" t="str">
        <f>'Task Durations'!D1</f>
        <v>001-13</v>
      </c>
      <c r="E28" s="219" t="str">
        <f>'Task Durations'!E1</f>
        <v>002-13</v>
      </c>
      <c r="F28" s="219" t="str">
        <f>'Task Durations'!F1</f>
        <v>003-13</v>
      </c>
      <c r="G28" s="219" t="str">
        <f>'Task Durations'!G1</f>
        <v>004-13</v>
      </c>
      <c r="H28" s="219" t="str">
        <f>'Task Durations'!H1</f>
        <v>005-13</v>
      </c>
      <c r="I28" s="219" t="str">
        <f>'Task Durations'!I1</f>
        <v>006-13</v>
      </c>
      <c r="J28" s="219" t="str">
        <f>'Task Durations'!J1</f>
        <v>007-13</v>
      </c>
      <c r="K28" s="219" t="str">
        <f>'Task Durations'!K1</f>
        <v>008-13</v>
      </c>
      <c r="L28" s="219" t="str">
        <f>'Task Durations'!L1</f>
        <v>009-13</v>
      </c>
      <c r="M28" s="219" t="str">
        <f>'Task Durations'!M1</f>
        <v>010-13</v>
      </c>
      <c r="N28" s="219" t="str">
        <f>'Task Durations'!N1</f>
        <v>011-13</v>
      </c>
      <c r="O28" s="219" t="str">
        <f>'Task Durations'!O1</f>
        <v>012-13</v>
      </c>
      <c r="P28" s="219" t="str">
        <f>'Task Durations'!P1</f>
        <v>013-13</v>
      </c>
      <c r="Q28" s="219" t="str">
        <f>'Task Durations'!Q1</f>
        <v>014-13</v>
      </c>
      <c r="R28" s="219" t="str">
        <f>'Task Durations'!R1</f>
        <v>015-13</v>
      </c>
      <c r="S28" s="219" t="str">
        <f>'Task Durations'!S1</f>
        <v>017-13</v>
      </c>
      <c r="T28" s="219" t="str">
        <f>'Task Durations'!T1</f>
        <v>018-13</v>
      </c>
      <c r="U28" s="219" t="str">
        <f>'Task Durations'!U1</f>
        <v>019-13</v>
      </c>
      <c r="V28" s="219" t="str">
        <f>'Task Durations'!V1</f>
        <v>020-13</v>
      </c>
      <c r="W28" s="219" t="str">
        <f>'Task Durations'!W1</f>
        <v>021-13</v>
      </c>
      <c r="X28" s="219" t="str">
        <f>'Task Durations'!X1</f>
        <v>022-13</v>
      </c>
      <c r="Y28" s="219" t="str">
        <f>'Task Durations'!Y1</f>
        <v>023-13</v>
      </c>
      <c r="Z28" s="219" t="str">
        <f>'Task Durations'!Z1</f>
        <v>024-13</v>
      </c>
      <c r="AA28" s="219" t="str">
        <f>'Task Durations'!AA1</f>
        <v>026-13</v>
      </c>
      <c r="AB28" s="219" t="str">
        <f>'Task Durations'!AB1</f>
        <v>027-13</v>
      </c>
      <c r="AC28" s="219" t="str">
        <f>'Task Durations'!AC1</f>
        <v>028-13</v>
      </c>
      <c r="AD28" s="219" t="str">
        <f>'Task Durations'!AD1</f>
        <v>029-13</v>
      </c>
      <c r="AE28" s="219" t="str">
        <f>'Task Durations'!AE1</f>
        <v>030-13</v>
      </c>
      <c r="AF28" s="219" t="str">
        <f>'Task Durations'!AF1</f>
        <v>031-13</v>
      </c>
      <c r="AG28" s="219" t="str">
        <f>'Task Durations'!AG1</f>
        <v>032-13</v>
      </c>
      <c r="AH28" s="219" t="str">
        <f>'Task Durations'!AH1</f>
        <v>033-13</v>
      </c>
      <c r="AI28" s="219" t="str">
        <f>'Task Durations'!AI1</f>
        <v>034-13</v>
      </c>
      <c r="AJ28" s="219" t="str">
        <f>'Task Durations'!AJ1</f>
        <v>035-13</v>
      </c>
      <c r="AK28" s="219" t="str">
        <f>'Task Durations'!AK1</f>
        <v>036-13</v>
      </c>
      <c r="AL28" s="219" t="str">
        <f>'Task Durations'!AL1</f>
        <v>037-13</v>
      </c>
      <c r="AM28" s="219" t="str">
        <f>'Task Durations'!AM1</f>
        <v>038-13</v>
      </c>
      <c r="AN28" s="219" t="str">
        <f>'Task Durations'!AN1</f>
        <v>039-13</v>
      </c>
      <c r="AO28" s="219" t="str">
        <f>'Task Durations'!AO1</f>
        <v>040-13</v>
      </c>
      <c r="AP28" s="219" t="str">
        <f>'Task Durations'!AP1</f>
        <v>041-13</v>
      </c>
      <c r="AQ28" s="219" t="str">
        <f>'Task Durations'!AQ1</f>
        <v>042-13</v>
      </c>
      <c r="AR28" s="219" t="str">
        <f>'Task Durations'!AR1</f>
        <v>043-13</v>
      </c>
      <c r="AS28" s="219" t="str">
        <f>'Task Durations'!AS1</f>
        <v>045-13</v>
      </c>
      <c r="AT28" s="219" t="str">
        <f>'Task Durations'!AT1</f>
        <v>046-13</v>
      </c>
      <c r="AU28" s="219" t="str">
        <f>'Task Durations'!AU1</f>
        <v>047-13</v>
      </c>
      <c r="AV28" s="219" t="str">
        <f>'Task Durations'!AV1</f>
        <v>048-13</v>
      </c>
      <c r="AW28" s="219" t="str">
        <f>'Task Durations'!AW1</f>
        <v>049-13</v>
      </c>
      <c r="AX28" s="219" t="str">
        <f>'Task Durations'!AX1</f>
        <v>050-13</v>
      </c>
      <c r="AY28" s="219" t="str">
        <f>'Task Durations'!AY1</f>
        <v>052-13</v>
      </c>
      <c r="AZ28" s="219" t="str">
        <f>'Task Durations'!AZ1</f>
        <v>053-13</v>
      </c>
      <c r="BA28" s="219" t="str">
        <f>'Task Durations'!BA1</f>
        <v>054-13</v>
      </c>
      <c r="BB28" s="219" t="str">
        <f>'Task Durations'!BB1</f>
        <v>055-13</v>
      </c>
      <c r="BC28" s="219" t="str">
        <f>'Task Durations'!BC1</f>
        <v>057-13</v>
      </c>
      <c r="BD28" s="219" t="str">
        <f>'Task Durations'!BD1</f>
        <v>058-13</v>
      </c>
      <c r="BE28" s="219" t="str">
        <f>'Task Durations'!BE1</f>
        <v>059-13</v>
      </c>
      <c r="BF28" s="219" t="str">
        <f>'Task Durations'!BF1</f>
        <v>060-13</v>
      </c>
      <c r="BG28" s="219" t="str">
        <f>'Task Durations'!BG1</f>
        <v>061-13</v>
      </c>
      <c r="BH28" s="219" t="str">
        <f>'Task Durations'!BH1</f>
        <v>062-13</v>
      </c>
      <c r="BI28" s="219" t="str">
        <f>'Task Durations'!BI1</f>
        <v>063-13</v>
      </c>
      <c r="BJ28" s="219" t="str">
        <f>'Task Durations'!BJ1</f>
        <v>064-13</v>
      </c>
      <c r="BK28" s="219" t="str">
        <f>'Task Durations'!BK1</f>
        <v>065-13</v>
      </c>
      <c r="BL28" s="219" t="str">
        <f>'Task Durations'!BL1</f>
        <v>067-13</v>
      </c>
      <c r="BM28" s="219" t="str">
        <f>'Task Durations'!BM1</f>
        <v>068-13</v>
      </c>
      <c r="BN28" s="219" t="str">
        <f>'Task Durations'!BN1</f>
        <v>069-13</v>
      </c>
      <c r="BO28" s="219" t="str">
        <f>'Task Durations'!BO1</f>
        <v>070-13</v>
      </c>
      <c r="BP28" s="219" t="str">
        <f>'Task Durations'!BP1</f>
        <v>071-13</v>
      </c>
      <c r="BQ28" s="219" t="str">
        <f>'Task Durations'!BQ1</f>
        <v>072-13</v>
      </c>
      <c r="BR28" s="219" t="str">
        <f>'Task Durations'!BR1</f>
        <v>073-13</v>
      </c>
      <c r="BS28" s="219" t="str">
        <f>'Task Durations'!BS1</f>
        <v>074-13</v>
      </c>
      <c r="BT28" s="219" t="str">
        <f>'Task Durations'!BT1</f>
        <v>075-13</v>
      </c>
      <c r="BU28" s="219" t="str">
        <f>'Task Durations'!BU1</f>
        <v>076-13</v>
      </c>
      <c r="BV28" s="219" t="str">
        <f>'Task Durations'!BV1</f>
        <v>077-13</v>
      </c>
      <c r="BW28" s="219" t="str">
        <f>'Task Durations'!BW1</f>
        <v>078-13</v>
      </c>
      <c r="BX28" s="219" t="str">
        <f>'Task Durations'!BX1</f>
        <v>079-13</v>
      </c>
      <c r="BY28" s="219" t="str">
        <f>'Task Durations'!BY1</f>
        <v>080-13</v>
      </c>
      <c r="BZ28" s="219" t="str">
        <f>'Task Durations'!BZ1</f>
        <v>081-13</v>
      </c>
      <c r="CA28" s="219" t="str">
        <f>'Task Durations'!CA1</f>
        <v>082-13</v>
      </c>
      <c r="CB28" s="219" t="str">
        <f>'Task Durations'!CB1</f>
        <v>083-13</v>
      </c>
      <c r="CC28" s="219" t="str">
        <f>'Task Durations'!CC1</f>
        <v>084-13</v>
      </c>
      <c r="CD28" s="219" t="str">
        <f>'Task Durations'!CD1</f>
        <v>085-13</v>
      </c>
      <c r="CE28" s="219" t="str">
        <f>'Task Durations'!CE1</f>
        <v>086-13</v>
      </c>
      <c r="CF28" s="219" t="str">
        <f>'Task Durations'!CF1</f>
        <v>087-13</v>
      </c>
      <c r="CG28" s="219" t="str">
        <f>'Task Durations'!CG1</f>
        <v>088-13</v>
      </c>
      <c r="CH28" s="219" t="str">
        <f>'Task Durations'!CH1</f>
        <v>089-13</v>
      </c>
      <c r="CI28" s="219" t="str">
        <f>'Task Durations'!CI1</f>
        <v>090-13</v>
      </c>
      <c r="CJ28" s="219" t="str">
        <f>'Task Durations'!CJ1</f>
        <v>091-13</v>
      </c>
      <c r="CK28" s="219" t="str">
        <f>'Task Durations'!CK1</f>
        <v>092-13</v>
      </c>
      <c r="CL28" s="219" t="str">
        <f>'Task Durations'!CL1</f>
        <v>093-13</v>
      </c>
      <c r="CM28" s="220" t="str">
        <f>'Task Durations'!CM1</f>
        <v>094-13</v>
      </c>
      <c r="CN28" s="215"/>
      <c r="CO28" s="215"/>
    </row>
    <row r="29" spans="1:93" x14ac:dyDescent="0.25">
      <c r="A29" s="345"/>
      <c r="C29" s="226" t="s">
        <v>354</v>
      </c>
      <c r="D29" s="264" t="str">
        <f>'Task Durations'!D8</f>
        <v>DSL</v>
      </c>
      <c r="E29" s="221" t="str">
        <f>'Task Durations'!E8</f>
        <v>DSL</v>
      </c>
      <c r="F29" s="221" t="str">
        <f>'Task Durations'!F8</f>
        <v>DSL</v>
      </c>
      <c r="G29" s="221" t="str">
        <f>'Task Durations'!G8</f>
        <v>DSL</v>
      </c>
      <c r="H29" s="221" t="str">
        <f>'Task Durations'!H8</f>
        <v>DSL</v>
      </c>
      <c r="I29" s="221" t="str">
        <f>'Task Durations'!I8</f>
        <v>T1</v>
      </c>
      <c r="J29" s="221" t="str">
        <f>'Task Durations'!J8</f>
        <v>EVDO</v>
      </c>
      <c r="K29" s="221" t="str">
        <f>'Task Durations'!K8</f>
        <v>EVDO</v>
      </c>
      <c r="L29" s="221" t="str">
        <f>'Task Durations'!L8</f>
        <v>WiFi</v>
      </c>
      <c r="M29" s="221" t="str">
        <f>'Task Durations'!M8</f>
        <v>DSL</v>
      </c>
      <c r="N29" s="221" t="str">
        <f>'Task Durations'!N8</f>
        <v>DSL</v>
      </c>
      <c r="O29" s="221" t="str">
        <f>'Task Durations'!O8</f>
        <v>DSL</v>
      </c>
      <c r="P29" s="221" t="str">
        <f>'Task Durations'!P8</f>
        <v>DSL</v>
      </c>
      <c r="Q29" s="221" t="str">
        <f>'Task Durations'!Q8</f>
        <v>DSL</v>
      </c>
      <c r="R29" s="221" t="str">
        <f>'Task Durations'!R8</f>
        <v>EVDO</v>
      </c>
      <c r="S29" s="221" t="str">
        <f>'Task Durations'!S8</f>
        <v>DSL</v>
      </c>
      <c r="T29" s="221">
        <f>'Task Durations'!T8</f>
        <v>0</v>
      </c>
      <c r="U29" s="221" t="str">
        <f>'Task Durations'!U8</f>
        <v>DSL</v>
      </c>
      <c r="V29" s="221" t="str">
        <f>'Task Durations'!V8</f>
        <v>EVDO</v>
      </c>
      <c r="W29" s="221" t="str">
        <f>'Task Durations'!W8</f>
        <v>DSL</v>
      </c>
      <c r="X29" s="221" t="str">
        <f>'Task Durations'!X8</f>
        <v>T1</v>
      </c>
      <c r="Y29" s="221" t="str">
        <f>'Task Durations'!Y8</f>
        <v>DSL</v>
      </c>
      <c r="Z29" s="221" t="str">
        <f>'Task Durations'!Z8</f>
        <v>T1</v>
      </c>
      <c r="AA29" s="221" t="str">
        <f>'Task Durations'!AA8</f>
        <v>DSL</v>
      </c>
      <c r="AB29" s="221" t="str">
        <f>'Task Durations'!AB8</f>
        <v>DSL</v>
      </c>
      <c r="AC29" s="221" t="str">
        <f>'Task Durations'!AC8</f>
        <v>EVDO</v>
      </c>
      <c r="AD29" s="221" t="str">
        <f>'Task Durations'!AD8</f>
        <v>DSL</v>
      </c>
      <c r="AE29" s="221" t="str">
        <f>'Task Durations'!AE8</f>
        <v>DSL</v>
      </c>
      <c r="AF29" s="221" t="str">
        <f>'Task Durations'!AF8</f>
        <v>DSL</v>
      </c>
      <c r="AG29" s="221" t="str">
        <f>'Task Durations'!AG8</f>
        <v>DSL</v>
      </c>
      <c r="AH29" s="221" t="str">
        <f>'Task Durations'!AH8</f>
        <v>DSL</v>
      </c>
      <c r="AI29" s="221" t="str">
        <f>'Task Durations'!AI8</f>
        <v>DSL</v>
      </c>
      <c r="AJ29" s="221" t="str">
        <f>'Task Durations'!AJ8</f>
        <v>DSL</v>
      </c>
      <c r="AK29" s="221">
        <f>'Task Durations'!AK8</f>
        <v>0</v>
      </c>
      <c r="AL29" s="221" t="str">
        <f>'Task Durations'!AL8</f>
        <v>T1</v>
      </c>
      <c r="AM29" s="221" t="str">
        <f>'Task Durations'!AM8</f>
        <v>DSL</v>
      </c>
      <c r="AN29" s="221" t="str">
        <f>'Task Durations'!AN8</f>
        <v>DSL</v>
      </c>
      <c r="AO29" s="221" t="str">
        <f>'Task Durations'!AO8</f>
        <v>EVDO</v>
      </c>
      <c r="AP29" s="221" t="str">
        <f>'Task Durations'!AP8</f>
        <v>DSL</v>
      </c>
      <c r="AQ29" s="221" t="str">
        <f>'Task Durations'!AQ8</f>
        <v>EVDO</v>
      </c>
      <c r="AR29" s="221" t="str">
        <f>'Task Durations'!AR8</f>
        <v>DSL</v>
      </c>
      <c r="AS29" s="221" t="str">
        <f>'Task Durations'!AS8</f>
        <v>DSL</v>
      </c>
      <c r="AT29" s="221" t="str">
        <f>'Task Durations'!AT8</f>
        <v>T1</v>
      </c>
      <c r="AU29" s="221" t="str">
        <f>'Task Durations'!AU8</f>
        <v>DSL</v>
      </c>
      <c r="AV29" s="221" t="str">
        <f>'Task Durations'!AV8</f>
        <v>EVDO</v>
      </c>
      <c r="AW29" s="221" t="str">
        <f>'Task Durations'!AW8</f>
        <v>DSL</v>
      </c>
      <c r="AX29" s="221" t="str">
        <f>'Task Durations'!AX8</f>
        <v>DSL</v>
      </c>
      <c r="AY29" s="221" t="str">
        <f>'Task Durations'!AY8</f>
        <v>DSL</v>
      </c>
      <c r="AZ29" s="221" t="str">
        <f>'Task Durations'!AZ8</f>
        <v>DSL</v>
      </c>
      <c r="BA29" s="221" t="str">
        <f>'Task Durations'!BA8</f>
        <v>DSL</v>
      </c>
      <c r="BB29" s="221" t="str">
        <f>'Task Durations'!BB8</f>
        <v>EVDO</v>
      </c>
      <c r="BC29" s="221" t="str">
        <f>'Task Durations'!BC8</f>
        <v>DSL</v>
      </c>
      <c r="BD29" s="221" t="str">
        <f>'Task Durations'!BD8</f>
        <v>DSL</v>
      </c>
      <c r="BE29" s="221" t="str">
        <f>'Task Durations'!BE8</f>
        <v>T1</v>
      </c>
      <c r="BF29" s="221" t="str">
        <f>'Task Durations'!BF8</f>
        <v>T1</v>
      </c>
      <c r="BG29" s="221" t="str">
        <f>'Task Durations'!BG8</f>
        <v>WiFi</v>
      </c>
      <c r="BH29" s="221" t="str">
        <f>'Task Durations'!BH8</f>
        <v>EVDO</v>
      </c>
      <c r="BI29" s="221" t="str">
        <f>'Task Durations'!BI8</f>
        <v>DSL</v>
      </c>
      <c r="BJ29" s="221" t="str">
        <f>'Task Durations'!BJ8</f>
        <v>DSL</v>
      </c>
      <c r="BK29" s="221" t="str">
        <f>'Task Durations'!BK8</f>
        <v>DSL</v>
      </c>
      <c r="BL29" s="221" t="str">
        <f>'Task Durations'!BL8</f>
        <v>DSL</v>
      </c>
      <c r="BM29" s="221" t="str">
        <f>'Task Durations'!BM8</f>
        <v>DSL</v>
      </c>
      <c r="BN29" s="221" t="str">
        <f>'Task Durations'!BN8</f>
        <v>DSL</v>
      </c>
      <c r="BO29" s="221" t="str">
        <f>'Task Durations'!BO8</f>
        <v>DSL</v>
      </c>
      <c r="BP29" s="221" t="str">
        <f>'Task Durations'!BP8</f>
        <v>T1</v>
      </c>
      <c r="BQ29" s="221" t="str">
        <f>'Task Durations'!BQ8</f>
        <v>DSL</v>
      </c>
      <c r="BR29" s="221" t="str">
        <f>'Task Durations'!BR8</f>
        <v>DSL</v>
      </c>
      <c r="BS29" s="221" t="str">
        <f>'Task Durations'!BS8</f>
        <v>DSL</v>
      </c>
      <c r="BT29" s="221" t="str">
        <f>'Task Durations'!BT8</f>
        <v>DSL</v>
      </c>
      <c r="BU29" s="221" t="str">
        <f>'Task Durations'!BU8</f>
        <v>DSL</v>
      </c>
      <c r="BV29" s="221" t="str">
        <f>'Task Durations'!BV8</f>
        <v>EVDO</v>
      </c>
      <c r="BW29" s="221" t="str">
        <f>'Task Durations'!BW8</f>
        <v>DSL</v>
      </c>
      <c r="BX29" s="221" t="str">
        <f>'Task Durations'!BX8</f>
        <v>DSL</v>
      </c>
      <c r="BY29" s="221" t="str">
        <f>'Task Durations'!BY8</f>
        <v>DSL</v>
      </c>
      <c r="BZ29" s="221" t="str">
        <f>'Task Durations'!BZ8</f>
        <v>EVDO</v>
      </c>
      <c r="CA29" s="221" t="str">
        <f>'Task Durations'!CA8</f>
        <v>DSL</v>
      </c>
      <c r="CB29" s="221" t="str">
        <f>'Task Durations'!CB8</f>
        <v>EVDO</v>
      </c>
      <c r="CC29" s="221" t="str">
        <f>'Task Durations'!CC8</f>
        <v>DSL</v>
      </c>
      <c r="CD29" s="221" t="str">
        <f>'Task Durations'!CD8</f>
        <v>DSL</v>
      </c>
      <c r="CE29" s="221" t="str">
        <f>'Task Durations'!CE8</f>
        <v>DSL</v>
      </c>
      <c r="CF29" s="221" t="str">
        <f>'Task Durations'!CF8</f>
        <v>EVDO</v>
      </c>
      <c r="CG29" s="221" t="str">
        <f>'Task Durations'!CG8</f>
        <v>DSL</v>
      </c>
      <c r="CH29" s="221" t="str">
        <f>'Task Durations'!CH8</f>
        <v>EVDO/DSL</v>
      </c>
      <c r="CI29" s="221" t="str">
        <f>'Task Durations'!CI8</f>
        <v>EVDO</v>
      </c>
      <c r="CJ29" s="221" t="str">
        <f>'Task Durations'!CJ8</f>
        <v>DSL</v>
      </c>
      <c r="CK29" s="221" t="str">
        <f>'Task Durations'!CK8</f>
        <v>WiFi</v>
      </c>
      <c r="CL29" s="221" t="str">
        <f>'Task Durations'!CL8</f>
        <v>DSL</v>
      </c>
      <c r="CM29" s="222" t="str">
        <f>'Task Durations'!CM8</f>
        <v>DSL</v>
      </c>
      <c r="CN29" s="9"/>
      <c r="CO29" s="9"/>
    </row>
    <row r="30" spans="1:93" x14ac:dyDescent="0.25">
      <c r="A30" s="345"/>
      <c r="C30" s="226" t="s">
        <v>78</v>
      </c>
      <c r="D30" s="264">
        <f>'Task Durations'!D36</f>
        <v>21.25</v>
      </c>
      <c r="E30" s="221">
        <f>'Task Durations'!E36</f>
        <v>17.266999999999996</v>
      </c>
      <c r="F30" s="221">
        <f>'Task Durations'!F36</f>
        <v>37.800000000000004</v>
      </c>
      <c r="G30" s="221">
        <f>'Task Durations'!G36</f>
        <v>22.699999999999996</v>
      </c>
      <c r="H30" s="221">
        <f>'Task Durations'!H36</f>
        <v>17.683</v>
      </c>
      <c r="I30" s="221">
        <f>'Task Durations'!I36</f>
        <v>21.816666666666666</v>
      </c>
      <c r="J30" s="221">
        <f>'Task Durations'!J36</f>
        <v>17.95</v>
      </c>
      <c r="K30" s="221">
        <f>'Task Durations'!K36</f>
        <v>29.099999999999998</v>
      </c>
      <c r="L30" s="221">
        <f>'Task Durations'!L36</f>
        <v>18.364799999999999</v>
      </c>
      <c r="M30" s="221">
        <f>'Task Durations'!M36</f>
        <v>38.783000000000001</v>
      </c>
      <c r="N30" s="221">
        <f>'Task Durations'!N36</f>
        <v>27.867000000000001</v>
      </c>
      <c r="O30" s="221">
        <f>'Task Durations'!O36</f>
        <v>27.299999999999997</v>
      </c>
      <c r="P30" s="221">
        <f>'Task Durations'!P36</f>
        <v>12.533999999999999</v>
      </c>
      <c r="Q30" s="221">
        <f>'Task Durations'!Q36</f>
        <v>28.850999999999999</v>
      </c>
      <c r="R30" s="221">
        <f>'Task Durations'!R36</f>
        <v>19.249299999999998</v>
      </c>
      <c r="S30" s="221">
        <f>'Task Durations'!S36</f>
        <v>14.064499999999999</v>
      </c>
      <c r="T30" s="221">
        <f>'Task Durations'!T36</f>
        <v>26.050999999999998</v>
      </c>
      <c r="U30" s="221">
        <f>'Task Durations'!U36</f>
        <v>27.166999999999998</v>
      </c>
      <c r="V30" s="221">
        <f>'Task Durations'!V36</f>
        <v>35.849999999999994</v>
      </c>
      <c r="W30" s="221">
        <f>'Task Durations'!W36</f>
        <v>14.600000000000001</v>
      </c>
      <c r="X30" s="221">
        <f>'Task Durations'!X36</f>
        <v>21.95</v>
      </c>
      <c r="Y30" s="221">
        <f>'Task Durations'!Y36</f>
        <v>18.533000000000001</v>
      </c>
      <c r="Z30" s="221">
        <f>'Task Durations'!Z36</f>
        <v>16.400000000000002</v>
      </c>
      <c r="AA30" s="221">
        <f>'Task Durations'!AA36</f>
        <v>31.1</v>
      </c>
      <c r="AB30" s="221">
        <f>'Task Durations'!AB36</f>
        <v>16.967300000000002</v>
      </c>
      <c r="AC30" s="221">
        <f>'Task Durations'!AC36</f>
        <v>13.353499999999999</v>
      </c>
      <c r="AD30" s="221">
        <f>'Task Durations'!AD36</f>
        <v>13.178000000000001</v>
      </c>
      <c r="AE30" s="221">
        <f>'Task Durations'!AE36</f>
        <v>20.265999999999998</v>
      </c>
      <c r="AF30" s="221">
        <f>'Task Durations'!AF36</f>
        <v>16.150300000000001</v>
      </c>
      <c r="AG30" s="221">
        <f>'Task Durations'!AG36</f>
        <v>28.183299999999999</v>
      </c>
      <c r="AH30" s="221">
        <f>'Task Durations'!AH36</f>
        <v>20.2163</v>
      </c>
      <c r="AI30" s="221">
        <f>'Task Durations'!AI36</f>
        <v>21.300000000000004</v>
      </c>
      <c r="AJ30" s="221">
        <f>'Task Durations'!AJ36</f>
        <v>23.132999999999999</v>
      </c>
      <c r="AK30" s="221">
        <f>'Task Durations'!AK36</f>
        <v>29.082999999999998</v>
      </c>
      <c r="AL30" s="221">
        <f>'Task Durations'!AL36</f>
        <v>27.716999999999999</v>
      </c>
      <c r="AM30" s="221">
        <f>'Task Durations'!AM36</f>
        <v>12.149999999999999</v>
      </c>
      <c r="AN30" s="221">
        <f>'Task Durations'!AN36</f>
        <v>31.971999999999998</v>
      </c>
      <c r="AO30" s="221">
        <f>'Task Durations'!AO36</f>
        <v>30.716300000000004</v>
      </c>
      <c r="AP30" s="221">
        <f>'Task Durations'!AP36</f>
        <v>27.817</v>
      </c>
      <c r="AQ30" s="221">
        <f>'Task Durations'!AQ36</f>
        <v>24.167000000000002</v>
      </c>
      <c r="AR30" s="221">
        <f>'Task Durations'!AR36</f>
        <v>11.967000000000002</v>
      </c>
      <c r="AS30" s="221">
        <f>'Task Durations'!AS36</f>
        <v>19.408999999999999</v>
      </c>
      <c r="AT30" s="221">
        <f>'Task Durations'!AT36</f>
        <v>16.032999999999998</v>
      </c>
      <c r="AU30" s="221">
        <f>'Task Durations'!AU36</f>
        <v>22.683</v>
      </c>
      <c r="AV30" s="221">
        <f>'Task Durations'!AV36</f>
        <v>34.224299999999999</v>
      </c>
      <c r="AW30" s="221">
        <f>'Task Durations'!AW36</f>
        <v>30.300999999999998</v>
      </c>
      <c r="AX30" s="221">
        <f>'Task Durations'!AX36</f>
        <v>18</v>
      </c>
      <c r="AY30" s="221">
        <f>'Task Durations'!AY36</f>
        <v>17.233000000000001</v>
      </c>
      <c r="AZ30" s="221">
        <f>'Task Durations'!AZ36</f>
        <v>15.481999999999999</v>
      </c>
      <c r="BA30" s="221">
        <f>'Task Durations'!BA36</f>
        <v>19.165699999999998</v>
      </c>
      <c r="BB30" s="221">
        <f>'Task Durations'!BB36</f>
        <v>26.967000000000006</v>
      </c>
      <c r="BC30" s="221">
        <f>'Task Durations'!BC36</f>
        <v>19.5167</v>
      </c>
      <c r="BD30" s="221">
        <f>'Task Durations'!BD36</f>
        <v>20.049999999999997</v>
      </c>
      <c r="BE30" s="221">
        <f>'Task Durations'!BE36</f>
        <v>26.700299999999999</v>
      </c>
      <c r="BF30" s="221">
        <f>'Task Durations'!BF36</f>
        <v>18.183</v>
      </c>
      <c r="BG30" s="221">
        <f>'Task Durations'!BG36</f>
        <v>19.497999999999998</v>
      </c>
      <c r="BH30" s="221">
        <f>'Task Durations'!BH36</f>
        <v>18.0337</v>
      </c>
      <c r="BI30" s="221">
        <f>'Task Durations'!BI36</f>
        <v>16.351300000000002</v>
      </c>
      <c r="BJ30" s="221">
        <f>'Task Durations'!BJ36</f>
        <v>26.85</v>
      </c>
      <c r="BK30" s="221">
        <f>'Task Durations'!BK36</f>
        <v>12.082999999999998</v>
      </c>
      <c r="BL30" s="221">
        <f>'Task Durations'!BL36</f>
        <v>23.386199999999999</v>
      </c>
      <c r="BM30" s="221">
        <f>'Task Durations'!BM36</f>
        <v>9.7840000000000007</v>
      </c>
      <c r="BN30" s="221">
        <f>'Task Durations'!BN36</f>
        <v>42.033999999999999</v>
      </c>
      <c r="BO30" s="221">
        <f>'Task Durations'!BO36</f>
        <v>29.367000000000001</v>
      </c>
      <c r="BP30" s="221">
        <f>'Task Durations'!BP36</f>
        <v>33.742000000000004</v>
      </c>
      <c r="BQ30" s="221">
        <f>'Task Durations'!BQ36</f>
        <v>15.649000000000001</v>
      </c>
      <c r="BR30" s="221">
        <f>'Task Durations'!BR36</f>
        <v>15.3</v>
      </c>
      <c r="BS30" s="221">
        <f>'Task Durations'!BS36</f>
        <v>7.3056999999999981</v>
      </c>
      <c r="BT30" s="221">
        <f>'Task Durations'!BT36</f>
        <v>12.067</v>
      </c>
      <c r="BU30" s="221">
        <f>'Task Durations'!BU36</f>
        <v>18.183</v>
      </c>
      <c r="BV30" s="221">
        <f>'Task Durations'!BV36</f>
        <v>24.083300000000008</v>
      </c>
      <c r="BW30" s="221">
        <f>'Task Durations'!BW36</f>
        <v>19.883299999999998</v>
      </c>
      <c r="BX30" s="221">
        <f>'Task Durations'!BX36</f>
        <v>17.183299999999999</v>
      </c>
      <c r="BY30" s="221">
        <f>'Task Durations'!BY36</f>
        <v>15.767000000000001</v>
      </c>
      <c r="BZ30" s="221">
        <f>'Task Durations'!BZ36</f>
        <v>21.083000000000002</v>
      </c>
      <c r="CA30" s="221">
        <f>'Task Durations'!CA36</f>
        <v>13.616</v>
      </c>
      <c r="CB30" s="221">
        <f>'Task Durations'!CB36</f>
        <v>33.683</v>
      </c>
      <c r="CC30" s="221">
        <f>'Task Durations'!CC36</f>
        <v>26.1</v>
      </c>
      <c r="CD30" s="221">
        <f>'Task Durations'!CD36</f>
        <v>10.867000000000001</v>
      </c>
      <c r="CE30" s="221">
        <f>'Task Durations'!CE36</f>
        <v>8.5829999999999984</v>
      </c>
      <c r="CF30" s="221">
        <f>'Task Durations'!CF36</f>
        <v>19.566299999999998</v>
      </c>
      <c r="CG30" s="221">
        <f>'Task Durations'!CG36</f>
        <v>28.067</v>
      </c>
      <c r="CH30" s="221">
        <f>'Task Durations'!CH36</f>
        <v>44.132999999999996</v>
      </c>
      <c r="CI30" s="221">
        <f>'Task Durations'!CI36</f>
        <v>22.5</v>
      </c>
      <c r="CJ30" s="221">
        <f>'Task Durations'!CJ36</f>
        <v>21.25</v>
      </c>
      <c r="CK30" s="221">
        <f>'Task Durations'!CK36</f>
        <v>23.483000000000004</v>
      </c>
      <c r="CL30" s="221">
        <f>'Task Durations'!CL36</f>
        <v>14.968999999999998</v>
      </c>
      <c r="CM30" s="222">
        <f>'Task Durations'!CM36</f>
        <v>23.798999999999999</v>
      </c>
      <c r="CN30" s="9"/>
      <c r="CO30" s="9"/>
    </row>
    <row r="31" spans="1:93" x14ac:dyDescent="0.25">
      <c r="A31" s="345"/>
      <c r="C31" s="226" t="s">
        <v>79</v>
      </c>
      <c r="D31" s="264">
        <f>'Task Durations'!D37</f>
        <v>40.016666666666666</v>
      </c>
      <c r="E31" s="221">
        <f>'Task Durations'!E37</f>
        <v>38.899000000000008</v>
      </c>
      <c r="F31" s="221">
        <f>'Task Durations'!F37</f>
        <v>32.733333333333334</v>
      </c>
      <c r="G31" s="221">
        <f>'Task Durations'!G37</f>
        <v>26.717999999999993</v>
      </c>
      <c r="H31" s="221">
        <f>'Task Durations'!H37</f>
        <v>25.465999999999998</v>
      </c>
      <c r="I31" s="221">
        <f>'Task Durations'!I37</f>
        <v>24.65</v>
      </c>
      <c r="J31" s="221">
        <f>'Task Durations'!J37</f>
        <v>57.766666666666666</v>
      </c>
      <c r="K31" s="221">
        <f>'Task Durations'!K37</f>
        <v>44.332999999999998</v>
      </c>
      <c r="L31" s="221">
        <f>'Task Durations'!L37</f>
        <v>29.419</v>
      </c>
      <c r="M31" s="221">
        <f>'Task Durations'!M37</f>
        <v>41.783000000000001</v>
      </c>
      <c r="N31" s="221">
        <f>'Task Durations'!N37</f>
        <v>36.5837</v>
      </c>
      <c r="O31" s="221">
        <f>'Task Durations'!O37</f>
        <v>24.417000000000002</v>
      </c>
      <c r="P31" s="221">
        <f>'Task Durations'!P37</f>
        <v>42.265999999999998</v>
      </c>
      <c r="Q31" s="221">
        <f>'Task Durations'!Q37</f>
        <v>48.048999999999992</v>
      </c>
      <c r="R31" s="221">
        <f>'Task Durations'!R37</f>
        <v>15.75</v>
      </c>
      <c r="S31" s="221">
        <f>'Task Durations'!S37</f>
        <v>19.420999999999999</v>
      </c>
      <c r="T31" s="221">
        <f>'Task Durations'!T37</f>
        <v>35.667000000000002</v>
      </c>
      <c r="U31" s="221">
        <f>'Task Durations'!U37</f>
        <v>40.149700000000003</v>
      </c>
      <c r="V31" s="221">
        <f>'Task Durations'!V37</f>
        <v>62.499000000000009</v>
      </c>
      <c r="W31" s="221">
        <f>'Task Durations'!W37</f>
        <v>31.766300000000001</v>
      </c>
      <c r="X31" s="221">
        <f>'Task Durations'!X37</f>
        <v>32.850300000000004</v>
      </c>
      <c r="Y31" s="221">
        <f>'Task Durations'!Y37</f>
        <v>51.498699999999999</v>
      </c>
      <c r="Z31" s="221">
        <f>'Task Durations'!Z37</f>
        <v>27.980000000000004</v>
      </c>
      <c r="AA31" s="221">
        <f>'Task Durations'!AA37</f>
        <v>15.433</v>
      </c>
      <c r="AB31" s="221">
        <f>'Task Durations'!AB37</f>
        <v>53.549700000000001</v>
      </c>
      <c r="AC31" s="221">
        <f>'Task Durations'!AC37</f>
        <v>27.739000000000001</v>
      </c>
      <c r="AD31" s="221">
        <f>'Task Durations'!AD37</f>
        <v>23.023300000000003</v>
      </c>
      <c r="AE31" s="221">
        <f>'Task Durations'!AE37</f>
        <v>43.187000000000005</v>
      </c>
      <c r="AF31" s="221">
        <f>'Task Durations'!AF37</f>
        <v>41.3504</v>
      </c>
      <c r="AG31" s="221">
        <f>'Task Durations'!AG37</f>
        <v>28.849000000000004</v>
      </c>
      <c r="AH31" s="221">
        <f>'Task Durations'!AH37</f>
        <v>29.700000000000003</v>
      </c>
      <c r="AI31" s="221">
        <f>'Task Durations'!AI37</f>
        <v>43.500700000000002</v>
      </c>
      <c r="AJ31" s="221">
        <f>'Task Durations'!AJ37</f>
        <v>41.670999999999999</v>
      </c>
      <c r="AK31" s="221">
        <f>'Task Durations'!AK37</f>
        <v>35.482999999999997</v>
      </c>
      <c r="AL31" s="221">
        <f>'Task Durations'!AL37</f>
        <v>52.750999999999998</v>
      </c>
      <c r="AM31" s="221">
        <f>'Task Durations'!AM37</f>
        <v>36.750000000000007</v>
      </c>
      <c r="AN31" s="221">
        <f>'Task Durations'!AN37</f>
        <v>39.349999999999994</v>
      </c>
      <c r="AO31" s="221">
        <f>'Task Durations'!AO37</f>
        <v>40.414999999999999</v>
      </c>
      <c r="AP31" s="221">
        <f>'Task Durations'!AP37</f>
        <v>33.766000000000005</v>
      </c>
      <c r="AQ31" s="221">
        <f>'Task Durations'!AQ37</f>
        <v>22.016399999999997</v>
      </c>
      <c r="AR31" s="221">
        <f>'Task Durations'!AR37</f>
        <v>30.051000000000002</v>
      </c>
      <c r="AS31" s="221">
        <f>'Task Durations'!AS37</f>
        <v>59.820500000000003</v>
      </c>
      <c r="AT31" s="221">
        <f>'Task Durations'!AT37</f>
        <v>38.116999999999997</v>
      </c>
      <c r="AU31" s="221">
        <f>'Task Durations'!AU37</f>
        <v>32.9</v>
      </c>
      <c r="AV31" s="221">
        <f>'Task Durations'!AV37</f>
        <v>20.515999999999998</v>
      </c>
      <c r="AW31" s="221">
        <f>'Task Durations'!AW37</f>
        <v>51.100299999999997</v>
      </c>
      <c r="AX31" s="221">
        <f>'Task Durations'!AX37</f>
        <v>61.084000000000003</v>
      </c>
      <c r="AY31" s="221">
        <f>'Task Durations'!AY37</f>
        <v>26.166</v>
      </c>
      <c r="AZ31" s="221">
        <f>'Task Durations'!AZ37</f>
        <v>46.199700000000007</v>
      </c>
      <c r="BA31" s="221">
        <f>'Task Durations'!BA37</f>
        <v>57.5336</v>
      </c>
      <c r="BB31" s="221">
        <f>'Task Durations'!BB37</f>
        <v>20.882999999999999</v>
      </c>
      <c r="BC31" s="221">
        <f>'Task Durations'!BC37</f>
        <v>42.416000000000004</v>
      </c>
      <c r="BD31" s="221">
        <f>'Task Durations'!BD37</f>
        <v>41.515999999999998</v>
      </c>
      <c r="BE31" s="221">
        <f>'Task Durations'!BE37</f>
        <v>29.432299999999998</v>
      </c>
      <c r="BF31" s="221">
        <f>'Task Durations'!BF37</f>
        <v>29.467000000000002</v>
      </c>
      <c r="BG31" s="221">
        <f>'Task Durations'!BG37</f>
        <v>34.645199999999996</v>
      </c>
      <c r="BH31" s="221">
        <f>'Task Durations'!BH37</f>
        <v>36.266299999999994</v>
      </c>
      <c r="BI31" s="221">
        <f>'Task Durations'!BI37</f>
        <v>19.541999999999998</v>
      </c>
      <c r="BJ31" s="221">
        <f>'Task Durations'!BJ37</f>
        <v>25.966999999999999</v>
      </c>
      <c r="BK31" s="221">
        <f>'Task Durations'!BK37</f>
        <v>13.1</v>
      </c>
      <c r="BL31" s="221">
        <f>'Task Durations'!BL37</f>
        <v>37.509300000000003</v>
      </c>
      <c r="BM31" s="221">
        <f>'Task Durations'!BM37</f>
        <v>19.549299999999999</v>
      </c>
      <c r="BN31" s="221">
        <f>'Task Durations'!BN37</f>
        <v>31.0717</v>
      </c>
      <c r="BO31" s="221">
        <f>'Task Durations'!BO37</f>
        <v>28.6493</v>
      </c>
      <c r="BP31" s="221">
        <f>'Task Durations'!BP37</f>
        <v>60.104999999999997</v>
      </c>
      <c r="BQ31" s="221">
        <f>'Task Durations'!BQ37</f>
        <v>21.351000000000003</v>
      </c>
      <c r="BR31" s="221">
        <f>'Task Durations'!BR37</f>
        <v>33.483700000000006</v>
      </c>
      <c r="BS31" s="221">
        <f>'Task Durations'!BS37</f>
        <v>46.535999999999994</v>
      </c>
      <c r="BT31" s="221">
        <f>'Task Durations'!BT37</f>
        <v>46.982999999999997</v>
      </c>
      <c r="BU31" s="221">
        <f>'Task Durations'!BU37</f>
        <v>64.816300000000012</v>
      </c>
      <c r="BV31" s="221">
        <f>'Task Durations'!BV37</f>
        <v>45.216999999999999</v>
      </c>
      <c r="BW31" s="221">
        <f>'Task Durations'!BW37</f>
        <v>46.216999999999992</v>
      </c>
      <c r="BX31" s="221">
        <f>'Task Durations'!BX37</f>
        <v>15.716700000000001</v>
      </c>
      <c r="BY31" s="221">
        <f>'Task Durations'!BY37</f>
        <v>8.3333000000000013</v>
      </c>
      <c r="BZ31" s="221">
        <f>'Task Durations'!BZ37</f>
        <v>32.732700000000001</v>
      </c>
      <c r="CA31" s="221">
        <f>'Task Durations'!CA37</f>
        <v>6.2006999999999994</v>
      </c>
      <c r="CB31" s="221">
        <f>'Task Durations'!CB37</f>
        <v>48.466999999999999</v>
      </c>
      <c r="CC31" s="221">
        <f>'Task Durations'!CC37</f>
        <v>39.884000000000007</v>
      </c>
      <c r="CD31" s="221">
        <f>'Task Durations'!CD37</f>
        <v>39.701999999999998</v>
      </c>
      <c r="CE31" s="221">
        <f>'Task Durations'!CE37</f>
        <v>8.85</v>
      </c>
      <c r="CF31" s="221">
        <f>'Task Durations'!CF37</f>
        <v>18.533000000000001</v>
      </c>
      <c r="CG31" s="221">
        <f>'Task Durations'!CG37</f>
        <v>48.633299999999998</v>
      </c>
      <c r="CH31" s="221">
        <f>'Task Durations'!CH37</f>
        <v>27.3</v>
      </c>
      <c r="CI31" s="221">
        <f>'Task Durations'!CI37</f>
        <v>63</v>
      </c>
      <c r="CJ31" s="221">
        <f>'Task Durations'!CJ37</f>
        <v>30.383000000000003</v>
      </c>
      <c r="CK31" s="221">
        <f>'Task Durations'!CK37</f>
        <v>52.516999999999996</v>
      </c>
      <c r="CL31" s="221">
        <f>'Task Durations'!CL37</f>
        <v>67.398499999999999</v>
      </c>
      <c r="CM31" s="222">
        <f>'Task Durations'!CM37</f>
        <v>33.482999999999997</v>
      </c>
      <c r="CN31" s="9"/>
      <c r="CO31" s="9"/>
    </row>
    <row r="32" spans="1:93" ht="15.75" thickBot="1" x14ac:dyDescent="0.3">
      <c r="A32" s="345"/>
      <c r="C32" s="227" t="s">
        <v>60</v>
      </c>
      <c r="D32" s="275">
        <f>'Task Durations'!D39</f>
        <v>61.266666666666666</v>
      </c>
      <c r="E32" s="223">
        <f>'Task Durations'!E39</f>
        <v>56.166000000000004</v>
      </c>
      <c r="F32" s="223">
        <f>'Task Durations'!F39</f>
        <v>70.533333333333331</v>
      </c>
      <c r="G32" s="223">
        <f>'Task Durations'!G39</f>
        <v>49.417999999999992</v>
      </c>
      <c r="H32" s="223">
        <f>'Task Durations'!H39</f>
        <v>43.149000000000001</v>
      </c>
      <c r="I32" s="223">
        <f>'Task Durations'!I39</f>
        <v>46.466666666666669</v>
      </c>
      <c r="J32" s="223">
        <f>'Task Durations'!J39</f>
        <v>75.716666666666669</v>
      </c>
      <c r="K32" s="223">
        <f>'Task Durations'!K39</f>
        <v>73.432999999999993</v>
      </c>
      <c r="L32" s="223">
        <f>'Task Durations'!L39</f>
        <v>47.783799999999999</v>
      </c>
      <c r="M32" s="223">
        <f>'Task Durations'!M39</f>
        <v>80.566000000000003</v>
      </c>
      <c r="N32" s="223">
        <f>'Task Durations'!N39</f>
        <v>64.450699999999998</v>
      </c>
      <c r="O32" s="223">
        <f>'Task Durations'!O39</f>
        <v>51.716999999999999</v>
      </c>
      <c r="P32" s="223">
        <f>'Task Durations'!P39</f>
        <v>54.8</v>
      </c>
      <c r="Q32" s="223">
        <f>'Task Durations'!Q39</f>
        <v>76.899999999999991</v>
      </c>
      <c r="R32" s="223">
        <f>'Task Durations'!R39</f>
        <v>34.999299999999998</v>
      </c>
      <c r="S32" s="223">
        <f>'Task Durations'!S39</f>
        <v>33.485500000000002</v>
      </c>
      <c r="T32" s="223">
        <f>'Task Durations'!T39</f>
        <v>61.718000000000004</v>
      </c>
      <c r="U32" s="223">
        <f>'Task Durations'!U39</f>
        <v>67.316699999999997</v>
      </c>
      <c r="V32" s="223">
        <f>'Task Durations'!V39</f>
        <v>98.349000000000004</v>
      </c>
      <c r="W32" s="223">
        <f>'Task Durations'!W39</f>
        <v>46.366300000000003</v>
      </c>
      <c r="X32" s="223">
        <f>'Task Durations'!X39</f>
        <v>54.800300000000007</v>
      </c>
      <c r="Y32" s="223">
        <f>'Task Durations'!Y39</f>
        <v>70.031700000000001</v>
      </c>
      <c r="Z32" s="223">
        <f>'Task Durations'!Z39</f>
        <v>44.38000000000001</v>
      </c>
      <c r="AA32" s="223">
        <f>'Task Durations'!AA39</f>
        <v>46.533000000000001</v>
      </c>
      <c r="AB32" s="223">
        <f>'Task Durations'!AB39</f>
        <v>70.516999999999996</v>
      </c>
      <c r="AC32" s="223">
        <f>'Task Durations'!AC39</f>
        <v>41.092500000000001</v>
      </c>
      <c r="AD32" s="223">
        <f>'Task Durations'!AD39</f>
        <v>36.201300000000003</v>
      </c>
      <c r="AE32" s="223">
        <f>'Task Durations'!AE39</f>
        <v>63.453000000000003</v>
      </c>
      <c r="AF32" s="223">
        <f>'Task Durations'!AF39</f>
        <v>57.500700000000002</v>
      </c>
      <c r="AG32" s="223">
        <f>'Task Durations'!AG39</f>
        <v>57.032300000000006</v>
      </c>
      <c r="AH32" s="223">
        <f>'Task Durations'!AH39</f>
        <v>49.916300000000007</v>
      </c>
      <c r="AI32" s="223">
        <f>'Task Durations'!AI39</f>
        <v>64.800700000000006</v>
      </c>
      <c r="AJ32" s="223">
        <f>'Task Durations'!AJ39</f>
        <v>64.804000000000002</v>
      </c>
      <c r="AK32" s="223">
        <f>'Task Durations'!AK39</f>
        <v>64.566000000000003</v>
      </c>
      <c r="AL32" s="223">
        <f>'Task Durations'!AL39</f>
        <v>80.467999999999989</v>
      </c>
      <c r="AM32" s="223">
        <f>'Task Durations'!AM39</f>
        <v>48.900000000000006</v>
      </c>
      <c r="AN32" s="223">
        <f>'Task Durations'!AN39</f>
        <v>71.321999999999989</v>
      </c>
      <c r="AO32" s="223">
        <f>'Task Durations'!AO39</f>
        <v>71.13130000000001</v>
      </c>
      <c r="AP32" s="223">
        <f>'Task Durations'!AP39</f>
        <v>61.583000000000006</v>
      </c>
      <c r="AQ32" s="223">
        <f>'Task Durations'!AQ39</f>
        <v>46.183399999999999</v>
      </c>
      <c r="AR32" s="223">
        <f>'Task Durations'!AR39</f>
        <v>42.018000000000001</v>
      </c>
      <c r="AS32" s="223">
        <f>'Task Durations'!AS39</f>
        <v>79.229500000000002</v>
      </c>
      <c r="AT32" s="223">
        <f>'Task Durations'!AT39</f>
        <v>54.149999999999991</v>
      </c>
      <c r="AU32" s="223">
        <f>'Task Durations'!AU39</f>
        <v>55.582999999999998</v>
      </c>
      <c r="AV32" s="223">
        <f>'Task Durations'!AV39</f>
        <v>54.740299999999998</v>
      </c>
      <c r="AW32" s="223">
        <f>'Task Durations'!AW39</f>
        <v>81.401299999999992</v>
      </c>
      <c r="AX32" s="223">
        <f>'Task Durations'!AX39</f>
        <v>79.084000000000003</v>
      </c>
      <c r="AY32" s="223">
        <f>'Task Durations'!AY39</f>
        <v>43.399000000000001</v>
      </c>
      <c r="AZ32" s="223">
        <f>'Task Durations'!AZ39</f>
        <v>61.681700000000006</v>
      </c>
      <c r="BA32" s="223">
        <f>'Task Durations'!BA39</f>
        <v>76.699299999999994</v>
      </c>
      <c r="BB32" s="223">
        <f>'Task Durations'!BB39</f>
        <v>47.850000000000009</v>
      </c>
      <c r="BC32" s="223">
        <f>'Task Durations'!BC39</f>
        <v>61.932700000000004</v>
      </c>
      <c r="BD32" s="223">
        <f>'Task Durations'!BD39</f>
        <v>61.565999999999995</v>
      </c>
      <c r="BE32" s="223">
        <f>'Task Durations'!BE39</f>
        <v>56.132599999999996</v>
      </c>
      <c r="BF32" s="223">
        <f>'Task Durations'!BF39</f>
        <v>47.650000000000006</v>
      </c>
      <c r="BG32" s="223">
        <f>'Task Durations'!BG39</f>
        <v>54.143199999999993</v>
      </c>
      <c r="BH32" s="223">
        <f>'Task Durations'!BH39</f>
        <v>54.3</v>
      </c>
      <c r="BI32" s="223">
        <f>'Task Durations'!BI39</f>
        <v>35.893299999999996</v>
      </c>
      <c r="BJ32" s="223">
        <f>'Task Durations'!BJ39</f>
        <v>52.817</v>
      </c>
      <c r="BK32" s="223">
        <f>'Task Durations'!BK39</f>
        <v>25.183</v>
      </c>
      <c r="BL32" s="223">
        <f>'Task Durations'!BL39</f>
        <v>60.895499999999998</v>
      </c>
      <c r="BM32" s="223">
        <f>'Task Durations'!BM39</f>
        <v>29.333300000000001</v>
      </c>
      <c r="BN32" s="223">
        <f>'Task Durations'!BN39</f>
        <v>73.105699999999999</v>
      </c>
      <c r="BO32" s="223">
        <f>'Task Durations'!BO39</f>
        <v>58.016300000000001</v>
      </c>
      <c r="BP32" s="223">
        <f>'Task Durations'!BP39</f>
        <v>93.847000000000008</v>
      </c>
      <c r="BQ32" s="223">
        <f>'Task Durations'!BQ39</f>
        <v>37</v>
      </c>
      <c r="BR32" s="223">
        <f>'Task Durations'!BR39</f>
        <v>48.78370000000001</v>
      </c>
      <c r="BS32" s="223">
        <f>'Task Durations'!BS39</f>
        <v>53.841699999999989</v>
      </c>
      <c r="BT32" s="223">
        <f>'Task Durations'!BT39</f>
        <v>59.05</v>
      </c>
      <c r="BU32" s="223">
        <f>'Task Durations'!BU39</f>
        <v>82.999300000000005</v>
      </c>
      <c r="BV32" s="223">
        <f>'Task Durations'!BV39</f>
        <v>69.300300000000007</v>
      </c>
      <c r="BW32" s="223">
        <f>'Task Durations'!BW39</f>
        <v>66.10029999999999</v>
      </c>
      <c r="BX32" s="223">
        <f>'Task Durations'!BX39</f>
        <v>32.9</v>
      </c>
      <c r="BY32" s="223">
        <f>'Task Durations'!BY39</f>
        <v>24.100300000000004</v>
      </c>
      <c r="BZ32" s="223">
        <f>'Task Durations'!BZ39</f>
        <v>53.815700000000007</v>
      </c>
      <c r="CA32" s="223">
        <f>'Task Durations'!CA39</f>
        <v>19.816699999999997</v>
      </c>
      <c r="CB32" s="223">
        <f>'Task Durations'!CB39</f>
        <v>82.15</v>
      </c>
      <c r="CC32" s="223">
        <f>'Task Durations'!CC39</f>
        <v>65.984000000000009</v>
      </c>
      <c r="CD32" s="223">
        <f>'Task Durations'!CD39</f>
        <v>50.569000000000003</v>
      </c>
      <c r="CE32" s="223">
        <f>'Task Durations'!CE39</f>
        <v>17.433</v>
      </c>
      <c r="CF32" s="223">
        <f>'Task Durations'!CF39</f>
        <v>38.099299999999999</v>
      </c>
      <c r="CG32" s="223">
        <f>'Task Durations'!CG39</f>
        <v>76.700299999999999</v>
      </c>
      <c r="CH32" s="223">
        <f>'Task Durations'!CH39</f>
        <v>71.432999999999993</v>
      </c>
      <c r="CI32" s="223">
        <f>'Task Durations'!CI39</f>
        <v>85.5</v>
      </c>
      <c r="CJ32" s="223">
        <f>'Task Durations'!CJ39</f>
        <v>51.633000000000003</v>
      </c>
      <c r="CK32" s="223">
        <f>'Task Durations'!CK39</f>
        <v>76</v>
      </c>
      <c r="CL32" s="223">
        <f>'Task Durations'!CL39</f>
        <v>82.367499999999993</v>
      </c>
      <c r="CM32" s="224">
        <f>'Task Durations'!CM39</f>
        <v>57.281999999999996</v>
      </c>
      <c r="CN32" s="9"/>
      <c r="CO32" s="9"/>
    </row>
    <row r="33" spans="1:91" x14ac:dyDescent="0.25">
      <c r="A33" s="345"/>
    </row>
    <row r="34" spans="1:91" x14ac:dyDescent="0.25">
      <c r="A34" s="345"/>
      <c r="C34" t="s">
        <v>99</v>
      </c>
      <c r="D34" t="s">
        <v>148</v>
      </c>
      <c r="E34" t="s">
        <v>173</v>
      </c>
      <c r="F34" t="s">
        <v>67</v>
      </c>
      <c r="G34" t="s">
        <v>64</v>
      </c>
      <c r="H34" t="s">
        <v>66</v>
      </c>
      <c r="I34" t="s">
        <v>53</v>
      </c>
      <c r="J34" t="s">
        <v>54</v>
      </c>
      <c r="K34" t="s">
        <v>59</v>
      </c>
      <c r="L34" t="s">
        <v>133</v>
      </c>
      <c r="M34" t="s">
        <v>134</v>
      </c>
      <c r="N34" t="s">
        <v>135</v>
      </c>
      <c r="O34" t="s">
        <v>136</v>
      </c>
      <c r="P34" t="s">
        <v>147</v>
      </c>
      <c r="Q34" t="s">
        <v>149</v>
      </c>
      <c r="R34" t="s">
        <v>151</v>
      </c>
      <c r="S34" t="s">
        <v>153</v>
      </c>
      <c r="T34" t="s">
        <v>163</v>
      </c>
      <c r="U34" t="s">
        <v>164</v>
      </c>
      <c r="V34" t="s">
        <v>166</v>
      </c>
      <c r="W34" t="s">
        <v>167</v>
      </c>
      <c r="X34" t="s">
        <v>168</v>
      </c>
      <c r="Y34" t="s">
        <v>169</v>
      </c>
      <c r="Z34" t="s">
        <v>170</v>
      </c>
      <c r="AA34" t="s">
        <v>171</v>
      </c>
      <c r="AB34" t="s">
        <v>172</v>
      </c>
      <c r="AC34" t="s">
        <v>175</v>
      </c>
      <c r="AD34" t="s">
        <v>176</v>
      </c>
      <c r="AE34" t="s">
        <v>178</v>
      </c>
      <c r="AF34" t="s">
        <v>180</v>
      </c>
      <c r="AG34" t="s">
        <v>182</v>
      </c>
      <c r="AH34" t="s">
        <v>184</v>
      </c>
      <c r="AI34" t="s">
        <v>186</v>
      </c>
      <c r="AJ34" t="s">
        <v>187</v>
      </c>
      <c r="AK34" t="s">
        <v>189</v>
      </c>
      <c r="AL34" t="s">
        <v>190</v>
      </c>
      <c r="AM34" t="s">
        <v>191</v>
      </c>
      <c r="AN34" t="s">
        <v>194</v>
      </c>
      <c r="AO34" t="s">
        <v>195</v>
      </c>
      <c r="AP34" t="s">
        <v>200</v>
      </c>
      <c r="AQ34" t="s">
        <v>201</v>
      </c>
      <c r="AR34" t="s">
        <v>202</v>
      </c>
      <c r="AS34" t="s">
        <v>204</v>
      </c>
      <c r="AT34" t="s">
        <v>205</v>
      </c>
      <c r="AU34" t="s">
        <v>206</v>
      </c>
      <c r="AV34" t="s">
        <v>207</v>
      </c>
      <c r="AW34" t="s">
        <v>209</v>
      </c>
      <c r="AX34" t="s">
        <v>216</v>
      </c>
      <c r="AY34" t="s">
        <v>217</v>
      </c>
      <c r="AZ34" t="s">
        <v>218</v>
      </c>
      <c r="BA34" t="s">
        <v>219</v>
      </c>
      <c r="BB34" t="s">
        <v>290</v>
      </c>
      <c r="BC34" t="s">
        <v>291</v>
      </c>
      <c r="BD34" t="s">
        <v>292</v>
      </c>
      <c r="BE34" t="s">
        <v>294</v>
      </c>
      <c r="BF34" t="s">
        <v>296</v>
      </c>
      <c r="BG34" t="s">
        <v>297</v>
      </c>
      <c r="BH34" t="s">
        <v>298</v>
      </c>
      <c r="BI34" t="s">
        <v>300</v>
      </c>
      <c r="BJ34" t="s">
        <v>303</v>
      </c>
      <c r="BK34" t="s">
        <v>305</v>
      </c>
      <c r="BL34" t="s">
        <v>306</v>
      </c>
      <c r="BM34" t="s">
        <v>56</v>
      </c>
      <c r="BN34" t="s">
        <v>57</v>
      </c>
      <c r="BO34" t="s">
        <v>145</v>
      </c>
      <c r="BP34" t="s">
        <v>150</v>
      </c>
      <c r="BQ34" t="s">
        <v>165</v>
      </c>
      <c r="BR34" t="s">
        <v>177</v>
      </c>
      <c r="BS34" t="s">
        <v>179</v>
      </c>
      <c r="BT34" t="s">
        <v>185</v>
      </c>
      <c r="BU34" t="s">
        <v>192</v>
      </c>
      <c r="BV34" t="s">
        <v>199</v>
      </c>
      <c r="BW34" t="s">
        <v>289</v>
      </c>
      <c r="BX34" t="s">
        <v>293</v>
      </c>
      <c r="BY34" t="s">
        <v>295</v>
      </c>
      <c r="BZ34" t="s">
        <v>299</v>
      </c>
      <c r="CA34" t="s">
        <v>302</v>
      </c>
      <c r="CB34" t="s">
        <v>301</v>
      </c>
      <c r="CC34" t="s">
        <v>55</v>
      </c>
      <c r="CD34" t="s">
        <v>152</v>
      </c>
      <c r="CE34" t="s">
        <v>154</v>
      </c>
      <c r="CF34" t="s">
        <v>174</v>
      </c>
      <c r="CG34" t="s">
        <v>183</v>
      </c>
      <c r="CH34" t="s">
        <v>196</v>
      </c>
      <c r="CI34" t="s">
        <v>197</v>
      </c>
      <c r="CJ34" t="s">
        <v>208</v>
      </c>
      <c r="CK34" t="s">
        <v>58</v>
      </c>
      <c r="CL34" t="s">
        <v>198</v>
      </c>
      <c r="CM34" t="s">
        <v>304</v>
      </c>
    </row>
    <row r="35" spans="1:91" ht="15.75" thickBot="1" x14ac:dyDescent="0.3">
      <c r="A35" s="346"/>
      <c r="C35" t="s">
        <v>354</v>
      </c>
      <c r="D35">
        <v>0</v>
      </c>
      <c r="E35">
        <v>0</v>
      </c>
      <c r="F35" t="s">
        <v>1</v>
      </c>
      <c r="G35" t="s">
        <v>1</v>
      </c>
      <c r="H35" t="s">
        <v>1</v>
      </c>
      <c r="I35" t="s">
        <v>1</v>
      </c>
      <c r="J35" t="s">
        <v>1</v>
      </c>
      <c r="K35" t="s">
        <v>1</v>
      </c>
      <c r="L35" t="s">
        <v>1</v>
      </c>
      <c r="M35" t="s">
        <v>1</v>
      </c>
      <c r="N35" t="s">
        <v>1</v>
      </c>
      <c r="O35" t="s">
        <v>1</v>
      </c>
      <c r="P35" t="s">
        <v>1</v>
      </c>
      <c r="Q35" t="s">
        <v>1</v>
      </c>
      <c r="R35" t="s">
        <v>1</v>
      </c>
      <c r="S35" t="s">
        <v>1</v>
      </c>
      <c r="T35" t="s">
        <v>1</v>
      </c>
      <c r="U35" t="s">
        <v>1</v>
      </c>
      <c r="V35" t="s">
        <v>1</v>
      </c>
      <c r="W35" t="s">
        <v>1</v>
      </c>
      <c r="X35" t="s">
        <v>1</v>
      </c>
      <c r="Y35" t="s">
        <v>1</v>
      </c>
      <c r="Z35" t="s">
        <v>1</v>
      </c>
      <c r="AA35" t="s">
        <v>1</v>
      </c>
      <c r="AB35" t="s">
        <v>1</v>
      </c>
      <c r="AC35" t="s">
        <v>1</v>
      </c>
      <c r="AD35" t="s">
        <v>1</v>
      </c>
      <c r="AE35" t="s">
        <v>1</v>
      </c>
      <c r="AF35" t="s">
        <v>1</v>
      </c>
      <c r="AG35" t="s">
        <v>1</v>
      </c>
      <c r="AH35" t="s">
        <v>1</v>
      </c>
      <c r="AI35" t="s">
        <v>1</v>
      </c>
      <c r="AJ35" t="s">
        <v>1</v>
      </c>
      <c r="AK35" t="s">
        <v>1</v>
      </c>
      <c r="AL35" t="s">
        <v>1</v>
      </c>
      <c r="AM35" t="s">
        <v>1</v>
      </c>
      <c r="AN35" t="s">
        <v>1</v>
      </c>
      <c r="AO35" t="s">
        <v>1</v>
      </c>
      <c r="AP35" t="s">
        <v>1</v>
      </c>
      <c r="AQ35" t="s">
        <v>1</v>
      </c>
      <c r="AR35" t="s">
        <v>1</v>
      </c>
      <c r="AS35" t="s">
        <v>1</v>
      </c>
      <c r="AT35" t="s">
        <v>1</v>
      </c>
      <c r="AU35" t="s">
        <v>1</v>
      </c>
      <c r="AV35" t="s">
        <v>1</v>
      </c>
      <c r="AW35" t="s">
        <v>1</v>
      </c>
      <c r="AX35" t="s">
        <v>1</v>
      </c>
      <c r="AY35" t="s">
        <v>1</v>
      </c>
      <c r="AZ35" t="s">
        <v>1</v>
      </c>
      <c r="BA35" t="s">
        <v>1</v>
      </c>
      <c r="BB35" t="s">
        <v>1</v>
      </c>
      <c r="BC35" t="s">
        <v>1</v>
      </c>
      <c r="BD35" t="s">
        <v>1</v>
      </c>
      <c r="BE35" t="s">
        <v>1</v>
      </c>
      <c r="BF35" t="s">
        <v>1</v>
      </c>
      <c r="BG35" t="s">
        <v>1</v>
      </c>
      <c r="BH35" t="s">
        <v>1</v>
      </c>
      <c r="BI35" t="s">
        <v>1</v>
      </c>
      <c r="BJ35" t="s">
        <v>1</v>
      </c>
      <c r="BK35" t="s">
        <v>1</v>
      </c>
      <c r="BL35" t="s">
        <v>1</v>
      </c>
      <c r="BM35" t="s">
        <v>69</v>
      </c>
      <c r="BN35" t="s">
        <v>69</v>
      </c>
      <c r="BO35" t="s">
        <v>69</v>
      </c>
      <c r="BP35" t="s">
        <v>69</v>
      </c>
      <c r="BQ35" t="s">
        <v>69</v>
      </c>
      <c r="BR35" t="s">
        <v>69</v>
      </c>
      <c r="BS35" t="s">
        <v>69</v>
      </c>
      <c r="BT35" t="s">
        <v>69</v>
      </c>
      <c r="BU35" t="s">
        <v>69</v>
      </c>
      <c r="BV35" t="s">
        <v>69</v>
      </c>
      <c r="BW35" t="s">
        <v>69</v>
      </c>
      <c r="BX35" t="s">
        <v>69</v>
      </c>
      <c r="BY35" t="s">
        <v>69</v>
      </c>
      <c r="BZ35" t="s">
        <v>69</v>
      </c>
      <c r="CA35" t="s">
        <v>69</v>
      </c>
      <c r="CB35" t="s">
        <v>313</v>
      </c>
      <c r="CC35" t="s">
        <v>68</v>
      </c>
      <c r="CD35" t="s">
        <v>68</v>
      </c>
      <c r="CE35" t="s">
        <v>68</v>
      </c>
      <c r="CF35" t="s">
        <v>68</v>
      </c>
      <c r="CG35" t="s">
        <v>68</v>
      </c>
      <c r="CH35" t="s">
        <v>68</v>
      </c>
      <c r="CI35" t="s">
        <v>68</v>
      </c>
      <c r="CJ35" t="s">
        <v>68</v>
      </c>
      <c r="CK35" t="s">
        <v>71</v>
      </c>
      <c r="CL35" t="s">
        <v>71</v>
      </c>
      <c r="CM35" t="s">
        <v>71</v>
      </c>
    </row>
    <row r="36" spans="1:91" x14ac:dyDescent="0.25">
      <c r="C36" t="s">
        <v>78</v>
      </c>
      <c r="D36">
        <v>26.050999999999998</v>
      </c>
      <c r="E36">
        <v>29.082999999999998</v>
      </c>
      <c r="F36">
        <v>21.25</v>
      </c>
      <c r="G36">
        <v>17.266999999999996</v>
      </c>
      <c r="H36">
        <v>37.800000000000004</v>
      </c>
      <c r="I36">
        <v>22.699999999999996</v>
      </c>
      <c r="J36">
        <v>17.683</v>
      </c>
      <c r="K36">
        <v>38.783000000000001</v>
      </c>
      <c r="L36">
        <v>27.867000000000001</v>
      </c>
      <c r="M36">
        <v>27.299999999999997</v>
      </c>
      <c r="N36">
        <v>12.533999999999999</v>
      </c>
      <c r="O36">
        <v>28.850999999999999</v>
      </c>
      <c r="P36">
        <v>14.064499999999999</v>
      </c>
      <c r="Q36">
        <v>27.166999999999998</v>
      </c>
      <c r="R36">
        <v>14.600000000000001</v>
      </c>
      <c r="S36">
        <v>18.533000000000001</v>
      </c>
      <c r="T36">
        <v>31.1</v>
      </c>
      <c r="U36">
        <v>16.967300000000002</v>
      </c>
      <c r="V36">
        <v>13.178000000000001</v>
      </c>
      <c r="W36">
        <v>20.265999999999998</v>
      </c>
      <c r="X36">
        <v>16.150300000000001</v>
      </c>
      <c r="Y36">
        <v>28.183299999999999</v>
      </c>
      <c r="Z36">
        <v>20.2163</v>
      </c>
      <c r="AA36">
        <v>21.300000000000004</v>
      </c>
      <c r="AB36">
        <v>23.132999999999999</v>
      </c>
      <c r="AC36">
        <v>12.149999999999999</v>
      </c>
      <c r="AD36">
        <v>31.971999999999998</v>
      </c>
      <c r="AE36">
        <v>27.817</v>
      </c>
      <c r="AF36">
        <v>11.967000000000002</v>
      </c>
      <c r="AG36">
        <v>19.408999999999999</v>
      </c>
      <c r="AH36">
        <v>22.683</v>
      </c>
      <c r="AI36">
        <v>30.300999999999998</v>
      </c>
      <c r="AJ36">
        <v>18</v>
      </c>
      <c r="AK36">
        <v>17.233000000000001</v>
      </c>
      <c r="AL36">
        <v>15.481999999999999</v>
      </c>
      <c r="AM36">
        <v>19.165699999999998</v>
      </c>
      <c r="AN36">
        <v>19.5167</v>
      </c>
      <c r="AO36">
        <v>20.049999999999997</v>
      </c>
      <c r="AP36">
        <v>16.351300000000002</v>
      </c>
      <c r="AQ36">
        <v>26.85</v>
      </c>
      <c r="AR36">
        <v>12.082999999999998</v>
      </c>
      <c r="AS36">
        <v>23.386199999999999</v>
      </c>
      <c r="AT36">
        <v>9.7840000000000007</v>
      </c>
      <c r="AU36">
        <v>42.033999999999999</v>
      </c>
      <c r="AV36">
        <v>29.367000000000001</v>
      </c>
      <c r="AW36">
        <v>15.649000000000001</v>
      </c>
      <c r="AX36">
        <v>15.3</v>
      </c>
      <c r="AY36">
        <v>7.3056999999999981</v>
      </c>
      <c r="AZ36">
        <v>12.067</v>
      </c>
      <c r="BA36">
        <v>18.183</v>
      </c>
      <c r="BB36">
        <v>19.883299999999998</v>
      </c>
      <c r="BC36">
        <v>17.183299999999999</v>
      </c>
      <c r="BD36">
        <v>15.767000000000001</v>
      </c>
      <c r="BE36">
        <v>13.616</v>
      </c>
      <c r="BF36">
        <v>26.1</v>
      </c>
      <c r="BG36">
        <v>10.867000000000001</v>
      </c>
      <c r="BH36">
        <v>8.5829999999999984</v>
      </c>
      <c r="BI36">
        <v>28.067</v>
      </c>
      <c r="BJ36">
        <v>21.25</v>
      </c>
      <c r="BK36">
        <v>14.968999999999998</v>
      </c>
      <c r="BL36">
        <v>23.798999999999999</v>
      </c>
      <c r="BM36">
        <v>17.95</v>
      </c>
      <c r="BN36">
        <v>29.099999999999998</v>
      </c>
      <c r="BO36">
        <v>19.249299999999998</v>
      </c>
      <c r="BP36">
        <v>35.849999999999994</v>
      </c>
      <c r="BQ36">
        <v>13.353499999999999</v>
      </c>
      <c r="BR36">
        <v>30.716300000000004</v>
      </c>
      <c r="BS36">
        <v>24.167000000000002</v>
      </c>
      <c r="BT36">
        <v>34.224299999999999</v>
      </c>
      <c r="BU36">
        <v>26.967000000000006</v>
      </c>
      <c r="BV36">
        <v>18.0337</v>
      </c>
      <c r="BW36">
        <v>24.083300000000008</v>
      </c>
      <c r="BX36">
        <v>21.083000000000002</v>
      </c>
      <c r="BY36">
        <v>33.683</v>
      </c>
      <c r="BZ36">
        <v>19.566299999999998</v>
      </c>
      <c r="CA36">
        <v>22.5</v>
      </c>
      <c r="CB36">
        <v>44.132999999999996</v>
      </c>
      <c r="CC36">
        <v>21.816666666666666</v>
      </c>
      <c r="CD36">
        <v>21.95</v>
      </c>
      <c r="CE36">
        <v>16.400000000000002</v>
      </c>
      <c r="CF36">
        <v>27.716999999999999</v>
      </c>
      <c r="CG36">
        <v>16.032999999999998</v>
      </c>
      <c r="CH36">
        <v>26.700299999999999</v>
      </c>
      <c r="CI36">
        <v>18.183</v>
      </c>
      <c r="CJ36">
        <v>33.742000000000004</v>
      </c>
      <c r="CK36">
        <v>18.364799999999999</v>
      </c>
      <c r="CL36">
        <v>19.497999999999998</v>
      </c>
      <c r="CM36">
        <v>23.483000000000004</v>
      </c>
    </row>
    <row r="37" spans="1:91" x14ac:dyDescent="0.25">
      <c r="C37" t="s">
        <v>79</v>
      </c>
      <c r="D37">
        <v>35.667000000000002</v>
      </c>
      <c r="E37">
        <v>35.482999999999997</v>
      </c>
      <c r="F37">
        <v>40.016666666666666</v>
      </c>
      <c r="G37">
        <v>38.899000000000008</v>
      </c>
      <c r="H37">
        <v>32.733333333333334</v>
      </c>
      <c r="I37">
        <v>26.717999999999993</v>
      </c>
      <c r="J37">
        <v>25.465999999999998</v>
      </c>
      <c r="K37">
        <v>41.783000000000001</v>
      </c>
      <c r="L37">
        <v>36.5837</v>
      </c>
      <c r="M37">
        <v>24.417000000000002</v>
      </c>
      <c r="N37">
        <v>42.265999999999998</v>
      </c>
      <c r="O37">
        <v>48.048999999999992</v>
      </c>
      <c r="P37">
        <v>19.420999999999999</v>
      </c>
      <c r="Q37">
        <v>40.149700000000003</v>
      </c>
      <c r="R37">
        <v>31.766300000000001</v>
      </c>
      <c r="S37">
        <v>51.498699999999999</v>
      </c>
      <c r="T37">
        <v>15.433</v>
      </c>
      <c r="U37">
        <v>53.549700000000001</v>
      </c>
      <c r="V37">
        <v>23.023300000000003</v>
      </c>
      <c r="W37">
        <v>43.187000000000005</v>
      </c>
      <c r="X37">
        <v>41.3504</v>
      </c>
      <c r="Y37">
        <v>28.849000000000004</v>
      </c>
      <c r="Z37">
        <v>29.700000000000003</v>
      </c>
      <c r="AA37">
        <v>43.500700000000002</v>
      </c>
      <c r="AB37">
        <v>41.670999999999999</v>
      </c>
      <c r="AC37">
        <v>36.750000000000007</v>
      </c>
      <c r="AD37">
        <v>39.349999999999994</v>
      </c>
      <c r="AE37">
        <v>33.766000000000005</v>
      </c>
      <c r="AF37">
        <v>30.051000000000002</v>
      </c>
      <c r="AG37">
        <v>59.820500000000003</v>
      </c>
      <c r="AH37">
        <v>32.9</v>
      </c>
      <c r="AI37">
        <v>51.100299999999997</v>
      </c>
      <c r="AJ37">
        <v>61.084000000000003</v>
      </c>
      <c r="AK37">
        <v>26.166</v>
      </c>
      <c r="AL37">
        <v>46.199700000000007</v>
      </c>
      <c r="AM37">
        <v>57.5336</v>
      </c>
      <c r="AN37">
        <v>42.416000000000004</v>
      </c>
      <c r="AO37">
        <v>41.515999999999998</v>
      </c>
      <c r="AP37">
        <v>19.541999999999998</v>
      </c>
      <c r="AQ37">
        <v>25.966999999999999</v>
      </c>
      <c r="AR37">
        <v>13.1</v>
      </c>
      <c r="AS37">
        <v>37.509300000000003</v>
      </c>
      <c r="AT37">
        <v>19.549299999999999</v>
      </c>
      <c r="AU37">
        <v>31.0717</v>
      </c>
      <c r="AV37">
        <v>28.6493</v>
      </c>
      <c r="AW37">
        <v>21.351000000000003</v>
      </c>
      <c r="AX37">
        <v>33.483700000000006</v>
      </c>
      <c r="AY37">
        <v>46.535999999999994</v>
      </c>
      <c r="AZ37">
        <v>46.982999999999997</v>
      </c>
      <c r="BA37">
        <v>64.816300000000012</v>
      </c>
      <c r="BB37">
        <v>46.216999999999992</v>
      </c>
      <c r="BC37">
        <v>15.716700000000001</v>
      </c>
      <c r="BD37">
        <v>8.3333000000000013</v>
      </c>
      <c r="BE37">
        <v>6.2006999999999994</v>
      </c>
      <c r="BF37">
        <v>39.884000000000007</v>
      </c>
      <c r="BG37">
        <v>39.701999999999998</v>
      </c>
      <c r="BH37">
        <v>8.85</v>
      </c>
      <c r="BI37">
        <v>48.633299999999998</v>
      </c>
      <c r="BJ37">
        <v>30.383000000000003</v>
      </c>
      <c r="BK37">
        <v>67.398499999999999</v>
      </c>
      <c r="BL37">
        <v>33.482999999999997</v>
      </c>
      <c r="BM37">
        <v>57.766666666666666</v>
      </c>
      <c r="BN37">
        <v>44.332999999999998</v>
      </c>
      <c r="BO37">
        <v>15.75</v>
      </c>
      <c r="BP37">
        <v>62.499000000000009</v>
      </c>
      <c r="BQ37">
        <v>27.739000000000001</v>
      </c>
      <c r="BR37">
        <v>40.414999999999999</v>
      </c>
      <c r="BS37">
        <v>22.016399999999997</v>
      </c>
      <c r="BT37">
        <v>20.515999999999998</v>
      </c>
      <c r="BU37">
        <v>20.882999999999999</v>
      </c>
      <c r="BV37">
        <v>36.266299999999994</v>
      </c>
      <c r="BW37">
        <v>45.216999999999999</v>
      </c>
      <c r="BX37">
        <v>32.732700000000001</v>
      </c>
      <c r="BY37">
        <v>48.466999999999999</v>
      </c>
      <c r="BZ37">
        <v>18.533000000000001</v>
      </c>
      <c r="CA37">
        <v>63</v>
      </c>
      <c r="CB37">
        <v>27.3</v>
      </c>
      <c r="CC37">
        <v>24.65</v>
      </c>
      <c r="CD37">
        <v>32.850300000000004</v>
      </c>
      <c r="CE37">
        <v>27.980000000000004</v>
      </c>
      <c r="CF37">
        <v>52.750999999999998</v>
      </c>
      <c r="CG37">
        <v>38.116999999999997</v>
      </c>
      <c r="CH37">
        <v>29.432299999999998</v>
      </c>
      <c r="CI37">
        <v>29.467000000000002</v>
      </c>
      <c r="CJ37">
        <v>60.104999999999997</v>
      </c>
      <c r="CK37">
        <v>29.419</v>
      </c>
      <c r="CL37">
        <v>34.645199999999996</v>
      </c>
      <c r="CM37">
        <v>52.516999999999996</v>
      </c>
    </row>
    <row r="38" spans="1:91" x14ac:dyDescent="0.25">
      <c r="C38" t="s">
        <v>60</v>
      </c>
      <c r="D38">
        <v>61.718000000000004</v>
      </c>
      <c r="E38">
        <v>64.566000000000003</v>
      </c>
      <c r="F38">
        <v>61.266666666666666</v>
      </c>
      <c r="G38">
        <v>56.166000000000004</v>
      </c>
      <c r="H38">
        <v>70.533333333333331</v>
      </c>
      <c r="I38">
        <v>49.417999999999992</v>
      </c>
      <c r="J38">
        <v>43.149000000000001</v>
      </c>
      <c r="K38">
        <v>80.566000000000003</v>
      </c>
      <c r="L38">
        <v>64.450699999999998</v>
      </c>
      <c r="M38">
        <v>51.716999999999999</v>
      </c>
      <c r="N38">
        <v>54.8</v>
      </c>
      <c r="O38">
        <v>76.899999999999991</v>
      </c>
      <c r="P38">
        <v>33.485500000000002</v>
      </c>
      <c r="Q38">
        <v>67.316699999999997</v>
      </c>
      <c r="R38">
        <v>46.366300000000003</v>
      </c>
      <c r="S38">
        <v>70.031700000000001</v>
      </c>
      <c r="T38">
        <v>46.533000000000001</v>
      </c>
      <c r="U38">
        <v>70.516999999999996</v>
      </c>
      <c r="V38">
        <v>36.201300000000003</v>
      </c>
      <c r="W38">
        <v>63.453000000000003</v>
      </c>
      <c r="X38">
        <v>57.500700000000002</v>
      </c>
      <c r="Y38">
        <v>57.032300000000006</v>
      </c>
      <c r="Z38">
        <v>49.916300000000007</v>
      </c>
      <c r="AA38">
        <v>64.800700000000006</v>
      </c>
      <c r="AB38">
        <v>64.804000000000002</v>
      </c>
      <c r="AC38">
        <v>48.900000000000006</v>
      </c>
      <c r="AD38">
        <v>71.321999999999989</v>
      </c>
      <c r="AE38">
        <v>61.583000000000006</v>
      </c>
      <c r="AF38">
        <v>42.018000000000001</v>
      </c>
      <c r="AG38">
        <v>79.229500000000002</v>
      </c>
      <c r="AH38">
        <v>55.582999999999998</v>
      </c>
      <c r="AI38">
        <v>81.401299999999992</v>
      </c>
      <c r="AJ38">
        <v>79.084000000000003</v>
      </c>
      <c r="AK38">
        <v>43.399000000000001</v>
      </c>
      <c r="AL38">
        <v>61.681700000000006</v>
      </c>
      <c r="AM38">
        <v>76.699299999999994</v>
      </c>
      <c r="AN38">
        <v>61.932700000000004</v>
      </c>
      <c r="AO38">
        <v>61.565999999999995</v>
      </c>
      <c r="AP38">
        <v>35.893299999999996</v>
      </c>
      <c r="AQ38">
        <v>52.817</v>
      </c>
      <c r="AR38">
        <v>25.183</v>
      </c>
      <c r="AS38">
        <v>60.895499999999998</v>
      </c>
      <c r="AT38">
        <v>29.333300000000001</v>
      </c>
      <c r="AU38">
        <v>73.105699999999999</v>
      </c>
      <c r="AV38">
        <v>58.016300000000001</v>
      </c>
      <c r="AW38">
        <v>37</v>
      </c>
      <c r="AX38">
        <v>48.78370000000001</v>
      </c>
      <c r="AY38">
        <v>53.841699999999989</v>
      </c>
      <c r="AZ38">
        <v>59.05</v>
      </c>
      <c r="BA38">
        <v>82.999300000000005</v>
      </c>
      <c r="BB38">
        <v>66.10029999999999</v>
      </c>
      <c r="BC38">
        <v>32.9</v>
      </c>
      <c r="BD38">
        <v>24.100300000000004</v>
      </c>
      <c r="BE38">
        <v>19.816699999999997</v>
      </c>
      <c r="BF38">
        <v>65.984000000000009</v>
      </c>
      <c r="BG38">
        <v>50.569000000000003</v>
      </c>
      <c r="BH38">
        <v>17.433</v>
      </c>
      <c r="BI38">
        <v>76.700299999999999</v>
      </c>
      <c r="BJ38">
        <v>51.633000000000003</v>
      </c>
      <c r="BK38">
        <v>82.367499999999993</v>
      </c>
      <c r="BL38">
        <v>57.281999999999996</v>
      </c>
      <c r="BM38">
        <v>75.716666666666669</v>
      </c>
      <c r="BN38">
        <v>73.432999999999993</v>
      </c>
      <c r="BO38">
        <v>34.999299999999998</v>
      </c>
      <c r="BP38">
        <v>98.349000000000004</v>
      </c>
      <c r="BQ38">
        <v>41.092500000000001</v>
      </c>
      <c r="BR38">
        <v>71.13130000000001</v>
      </c>
      <c r="BS38">
        <v>46.183399999999999</v>
      </c>
      <c r="BT38">
        <v>54.740299999999998</v>
      </c>
      <c r="BU38">
        <v>47.850000000000009</v>
      </c>
      <c r="BV38">
        <v>54.3</v>
      </c>
      <c r="BW38">
        <v>69.300300000000007</v>
      </c>
      <c r="BX38">
        <v>53.815700000000007</v>
      </c>
      <c r="BY38">
        <v>82.15</v>
      </c>
      <c r="BZ38">
        <v>38.099299999999999</v>
      </c>
      <c r="CA38">
        <v>85.5</v>
      </c>
      <c r="CB38">
        <v>71.432999999999993</v>
      </c>
      <c r="CC38">
        <v>46.466666666666669</v>
      </c>
      <c r="CD38">
        <v>54.800300000000007</v>
      </c>
      <c r="CE38">
        <v>44.38000000000001</v>
      </c>
      <c r="CF38">
        <v>80.467999999999989</v>
      </c>
      <c r="CG38">
        <v>54.149999999999991</v>
      </c>
      <c r="CH38">
        <v>56.132599999999996</v>
      </c>
      <c r="CI38">
        <v>47.650000000000006</v>
      </c>
      <c r="CJ38">
        <v>93.847000000000008</v>
      </c>
      <c r="CK38">
        <v>47.783799999999999</v>
      </c>
      <c r="CL38">
        <v>54.143199999999993</v>
      </c>
      <c r="CM38">
        <v>76</v>
      </c>
    </row>
    <row r="39" spans="1:91" ht="15.75" thickBot="1" x14ac:dyDescent="0.3"/>
    <row r="40" spans="1:91" ht="15.75" thickBot="1" x14ac:dyDescent="0.3">
      <c r="C40" s="401" t="s">
        <v>78</v>
      </c>
      <c r="D40" s="402"/>
      <c r="E40" s="402"/>
      <c r="F40" s="402"/>
      <c r="G40" s="402"/>
      <c r="H40" s="402"/>
      <c r="I40" s="403"/>
      <c r="M40" s="401" t="s">
        <v>79</v>
      </c>
      <c r="N40" s="402"/>
      <c r="O40" s="402"/>
      <c r="P40" s="402"/>
      <c r="Q40" s="402"/>
      <c r="R40" s="402"/>
      <c r="S40" s="403"/>
    </row>
    <row r="41" spans="1:91" ht="15.75" thickBot="1" x14ac:dyDescent="0.3">
      <c r="C41" s="216" t="s">
        <v>2</v>
      </c>
      <c r="D41" s="217"/>
      <c r="E41" s="217" t="s">
        <v>276</v>
      </c>
      <c r="F41" s="217" t="s">
        <v>1</v>
      </c>
      <c r="G41" s="217" t="s">
        <v>69</v>
      </c>
      <c r="H41" s="217" t="s">
        <v>68</v>
      </c>
      <c r="I41" s="218" t="s">
        <v>71</v>
      </c>
      <c r="M41" s="44" t="s">
        <v>10</v>
      </c>
      <c r="N41" s="21"/>
      <c r="O41" s="21" t="s">
        <v>276</v>
      </c>
      <c r="P41" s="21" t="s">
        <v>1</v>
      </c>
      <c r="Q41" s="21" t="s">
        <v>69</v>
      </c>
      <c r="R41" s="21" t="s">
        <v>68</v>
      </c>
      <c r="S41" s="45" t="s">
        <v>71</v>
      </c>
    </row>
    <row r="42" spans="1:91" x14ac:dyDescent="0.25">
      <c r="C42" t="s">
        <v>148</v>
      </c>
      <c r="D42">
        <v>0</v>
      </c>
      <c r="E42">
        <v>26.050999999999998</v>
      </c>
      <c r="G42" s="21"/>
      <c r="H42" s="21"/>
      <c r="I42" s="45"/>
      <c r="M42" t="s">
        <v>148</v>
      </c>
      <c r="N42">
        <v>0</v>
      </c>
      <c r="O42">
        <v>35.667000000000002</v>
      </c>
      <c r="Q42" s="21"/>
      <c r="R42" s="21"/>
      <c r="S42" s="45"/>
    </row>
    <row r="43" spans="1:91" x14ac:dyDescent="0.25">
      <c r="C43" t="s">
        <v>173</v>
      </c>
      <c r="D43">
        <v>0</v>
      </c>
      <c r="E43">
        <v>29.082999999999998</v>
      </c>
      <c r="G43" s="21"/>
      <c r="H43" s="21"/>
      <c r="I43" s="45"/>
      <c r="M43" t="s">
        <v>173</v>
      </c>
      <c r="N43">
        <v>0</v>
      </c>
      <c r="O43">
        <v>35.482999999999997</v>
      </c>
      <c r="Q43" s="21"/>
      <c r="R43" s="21"/>
      <c r="S43" s="45"/>
    </row>
    <row r="44" spans="1:91" x14ac:dyDescent="0.25">
      <c r="C44" t="s">
        <v>67</v>
      </c>
      <c r="D44" t="s">
        <v>1</v>
      </c>
      <c r="F44">
        <v>21.25</v>
      </c>
      <c r="G44" s="21"/>
      <c r="H44" s="21"/>
      <c r="I44" s="45"/>
      <c r="M44" t="s">
        <v>67</v>
      </c>
      <c r="N44" t="s">
        <v>1</v>
      </c>
      <c r="P44">
        <v>40.016666666666666</v>
      </c>
      <c r="Q44" s="21"/>
      <c r="R44" s="21"/>
      <c r="S44" s="45"/>
    </row>
    <row r="45" spans="1:91" x14ac:dyDescent="0.25">
      <c r="C45" t="s">
        <v>64</v>
      </c>
      <c r="D45" t="s">
        <v>1</v>
      </c>
      <c r="F45">
        <v>17.266999999999996</v>
      </c>
      <c r="G45" s="21"/>
      <c r="H45" s="21"/>
      <c r="I45" s="45"/>
      <c r="M45" t="s">
        <v>64</v>
      </c>
      <c r="N45" t="s">
        <v>1</v>
      </c>
      <c r="P45">
        <v>38.899000000000008</v>
      </c>
      <c r="Q45" s="21"/>
      <c r="R45" s="21"/>
      <c r="S45" s="45"/>
    </row>
    <row r="46" spans="1:91" x14ac:dyDescent="0.25">
      <c r="C46" t="s">
        <v>66</v>
      </c>
      <c r="D46" t="s">
        <v>1</v>
      </c>
      <c r="F46">
        <v>37.800000000000004</v>
      </c>
      <c r="G46" s="21"/>
      <c r="H46" s="21"/>
      <c r="I46" s="45"/>
      <c r="M46" t="s">
        <v>66</v>
      </c>
      <c r="N46" t="s">
        <v>1</v>
      </c>
      <c r="P46">
        <v>32.733333333333334</v>
      </c>
      <c r="Q46" s="21"/>
      <c r="R46" s="21"/>
      <c r="S46" s="45"/>
    </row>
    <row r="47" spans="1:91" x14ac:dyDescent="0.25">
      <c r="C47" t="s">
        <v>53</v>
      </c>
      <c r="D47" t="s">
        <v>1</v>
      </c>
      <c r="F47">
        <v>22.699999999999996</v>
      </c>
      <c r="G47" s="21"/>
      <c r="H47" s="21"/>
      <c r="I47" s="45"/>
      <c r="M47" t="s">
        <v>53</v>
      </c>
      <c r="N47" t="s">
        <v>1</v>
      </c>
      <c r="P47">
        <v>26.717999999999993</v>
      </c>
      <c r="Q47" s="21"/>
      <c r="R47" s="21"/>
      <c r="S47" s="45"/>
    </row>
    <row r="48" spans="1:91" x14ac:dyDescent="0.25">
      <c r="C48" t="s">
        <v>54</v>
      </c>
      <c r="D48" t="s">
        <v>1</v>
      </c>
      <c r="F48">
        <v>17.683</v>
      </c>
      <c r="G48" s="21"/>
      <c r="H48" s="21"/>
      <c r="I48" s="45"/>
      <c r="M48" t="s">
        <v>54</v>
      </c>
      <c r="N48" t="s">
        <v>1</v>
      </c>
      <c r="P48">
        <v>25.465999999999998</v>
      </c>
      <c r="Q48" s="21"/>
      <c r="R48" s="21"/>
      <c r="S48" s="45"/>
    </row>
    <row r="49" spans="3:19" x14ac:dyDescent="0.25">
      <c r="C49" t="s">
        <v>59</v>
      </c>
      <c r="D49" t="s">
        <v>1</v>
      </c>
      <c r="F49">
        <v>38.783000000000001</v>
      </c>
      <c r="G49" s="21"/>
      <c r="H49" s="21"/>
      <c r="I49" s="45"/>
      <c r="M49" t="s">
        <v>59</v>
      </c>
      <c r="N49" t="s">
        <v>1</v>
      </c>
      <c r="P49">
        <v>41.783000000000001</v>
      </c>
      <c r="Q49" s="21"/>
      <c r="R49" s="21"/>
      <c r="S49" s="45"/>
    </row>
    <row r="50" spans="3:19" x14ac:dyDescent="0.25">
      <c r="C50" t="s">
        <v>133</v>
      </c>
      <c r="D50" t="s">
        <v>1</v>
      </c>
      <c r="F50">
        <v>27.867000000000001</v>
      </c>
      <c r="G50" s="21"/>
      <c r="H50" s="21"/>
      <c r="I50" s="45"/>
      <c r="M50" t="s">
        <v>133</v>
      </c>
      <c r="N50" t="s">
        <v>1</v>
      </c>
      <c r="P50">
        <v>36.5837</v>
      </c>
      <c r="Q50" s="21"/>
      <c r="R50" s="21"/>
      <c r="S50" s="45"/>
    </row>
    <row r="51" spans="3:19" x14ac:dyDescent="0.25">
      <c r="C51" t="s">
        <v>134</v>
      </c>
      <c r="D51" t="s">
        <v>1</v>
      </c>
      <c r="F51">
        <v>27.299999999999997</v>
      </c>
      <c r="G51" s="21"/>
      <c r="H51" s="21"/>
      <c r="I51" s="45"/>
      <c r="M51" t="s">
        <v>134</v>
      </c>
      <c r="N51" t="s">
        <v>1</v>
      </c>
      <c r="P51">
        <v>24.417000000000002</v>
      </c>
      <c r="Q51" s="21"/>
      <c r="R51" s="21"/>
      <c r="S51" s="45"/>
    </row>
    <row r="52" spans="3:19" x14ac:dyDescent="0.25">
      <c r="C52" t="s">
        <v>135</v>
      </c>
      <c r="D52" t="s">
        <v>1</v>
      </c>
      <c r="F52">
        <v>12.533999999999999</v>
      </c>
      <c r="G52" s="21"/>
      <c r="H52" s="21"/>
      <c r="I52" s="45"/>
      <c r="M52" t="s">
        <v>135</v>
      </c>
      <c r="N52" t="s">
        <v>1</v>
      </c>
      <c r="P52">
        <v>42.265999999999998</v>
      </c>
      <c r="Q52" s="21"/>
      <c r="R52" s="21"/>
      <c r="S52" s="45"/>
    </row>
    <row r="53" spans="3:19" x14ac:dyDescent="0.25">
      <c r="C53" t="s">
        <v>136</v>
      </c>
      <c r="D53" t="s">
        <v>1</v>
      </c>
      <c r="F53">
        <v>28.850999999999999</v>
      </c>
      <c r="G53" s="21"/>
      <c r="H53" s="21"/>
      <c r="I53" s="45"/>
      <c r="M53" t="s">
        <v>136</v>
      </c>
      <c r="N53" t="s">
        <v>1</v>
      </c>
      <c r="P53">
        <v>48.048999999999992</v>
      </c>
      <c r="Q53" s="21"/>
      <c r="R53" s="21"/>
      <c r="S53" s="45"/>
    </row>
    <row r="54" spans="3:19" x14ac:dyDescent="0.25">
      <c r="C54" t="s">
        <v>147</v>
      </c>
      <c r="D54" t="s">
        <v>1</v>
      </c>
      <c r="F54">
        <v>14.064499999999999</v>
      </c>
      <c r="G54" s="21"/>
      <c r="H54" s="21"/>
      <c r="I54" s="45"/>
      <c r="M54" t="s">
        <v>147</v>
      </c>
      <c r="N54" t="s">
        <v>1</v>
      </c>
      <c r="P54">
        <v>19.420999999999999</v>
      </c>
      <c r="Q54" s="21"/>
      <c r="R54" s="21"/>
      <c r="S54" s="45"/>
    </row>
    <row r="55" spans="3:19" x14ac:dyDescent="0.25">
      <c r="C55" t="s">
        <v>149</v>
      </c>
      <c r="D55" t="s">
        <v>1</v>
      </c>
      <c r="F55">
        <v>27.166999999999998</v>
      </c>
      <c r="G55" s="21"/>
      <c r="H55" s="21"/>
      <c r="I55" s="45"/>
      <c r="M55" t="s">
        <v>149</v>
      </c>
      <c r="N55" t="s">
        <v>1</v>
      </c>
      <c r="P55">
        <v>40.149700000000003</v>
      </c>
      <c r="Q55" s="21"/>
      <c r="R55" s="21"/>
      <c r="S55" s="45"/>
    </row>
    <row r="56" spans="3:19" x14ac:dyDescent="0.25">
      <c r="C56" t="s">
        <v>151</v>
      </c>
      <c r="D56" t="s">
        <v>1</v>
      </c>
      <c r="F56">
        <v>14.600000000000001</v>
      </c>
      <c r="G56" s="21"/>
      <c r="H56" s="21"/>
      <c r="I56" s="45"/>
      <c r="M56" t="s">
        <v>151</v>
      </c>
      <c r="N56" t="s">
        <v>1</v>
      </c>
      <c r="P56">
        <v>31.766300000000001</v>
      </c>
      <c r="Q56" s="21"/>
      <c r="R56" s="21"/>
      <c r="S56" s="45"/>
    </row>
    <row r="57" spans="3:19" x14ac:dyDescent="0.25">
      <c r="C57" t="s">
        <v>153</v>
      </c>
      <c r="D57" t="s">
        <v>1</v>
      </c>
      <c r="F57">
        <v>18.533000000000001</v>
      </c>
      <c r="G57" s="21"/>
      <c r="H57" s="21"/>
      <c r="I57" s="45"/>
      <c r="M57" t="s">
        <v>153</v>
      </c>
      <c r="N57" t="s">
        <v>1</v>
      </c>
      <c r="P57">
        <v>51.498699999999999</v>
      </c>
      <c r="Q57" s="21"/>
      <c r="R57" s="21"/>
      <c r="S57" s="45"/>
    </row>
    <row r="58" spans="3:19" x14ac:dyDescent="0.25">
      <c r="C58" t="s">
        <v>163</v>
      </c>
      <c r="D58" t="s">
        <v>1</v>
      </c>
      <c r="F58">
        <v>31.1</v>
      </c>
      <c r="G58" s="21"/>
      <c r="H58" s="21"/>
      <c r="I58" s="45"/>
      <c r="M58" t="s">
        <v>163</v>
      </c>
      <c r="N58" t="s">
        <v>1</v>
      </c>
      <c r="P58">
        <v>15.433</v>
      </c>
      <c r="Q58" s="21"/>
      <c r="R58" s="21"/>
      <c r="S58" s="45"/>
    </row>
    <row r="59" spans="3:19" x14ac:dyDescent="0.25">
      <c r="C59" t="s">
        <v>164</v>
      </c>
      <c r="D59" t="s">
        <v>1</v>
      </c>
      <c r="F59">
        <v>16.967300000000002</v>
      </c>
      <c r="G59" s="21"/>
      <c r="H59" s="21"/>
      <c r="I59" s="45"/>
      <c r="M59" t="s">
        <v>164</v>
      </c>
      <c r="N59" t="s">
        <v>1</v>
      </c>
      <c r="P59">
        <v>53.549700000000001</v>
      </c>
      <c r="Q59" s="21"/>
      <c r="R59" s="21"/>
      <c r="S59" s="45"/>
    </row>
    <row r="60" spans="3:19" x14ac:dyDescent="0.25">
      <c r="C60" t="s">
        <v>166</v>
      </c>
      <c r="D60" t="s">
        <v>1</v>
      </c>
      <c r="F60">
        <v>13.178000000000001</v>
      </c>
      <c r="G60" s="21"/>
      <c r="H60" s="21"/>
      <c r="I60" s="45"/>
      <c r="M60" t="s">
        <v>166</v>
      </c>
      <c r="N60" t="s">
        <v>1</v>
      </c>
      <c r="P60">
        <v>23.023300000000003</v>
      </c>
      <c r="Q60" s="21"/>
      <c r="R60" s="21"/>
      <c r="S60" s="45"/>
    </row>
    <row r="61" spans="3:19" x14ac:dyDescent="0.25">
      <c r="C61" t="s">
        <v>167</v>
      </c>
      <c r="D61" t="s">
        <v>1</v>
      </c>
      <c r="F61">
        <v>20.265999999999998</v>
      </c>
      <c r="G61" s="21"/>
      <c r="H61" s="21"/>
      <c r="I61" s="45"/>
      <c r="M61" t="s">
        <v>167</v>
      </c>
      <c r="N61" t="s">
        <v>1</v>
      </c>
      <c r="P61">
        <v>43.187000000000005</v>
      </c>
      <c r="Q61" s="21"/>
      <c r="R61" s="21"/>
      <c r="S61" s="45"/>
    </row>
    <row r="62" spans="3:19" x14ac:dyDescent="0.25">
      <c r="C62" t="s">
        <v>168</v>
      </c>
      <c r="D62" t="s">
        <v>1</v>
      </c>
      <c r="F62">
        <v>16.150300000000001</v>
      </c>
      <c r="G62" s="21"/>
      <c r="H62" s="21"/>
      <c r="I62" s="45"/>
      <c r="M62" t="s">
        <v>168</v>
      </c>
      <c r="N62" t="s">
        <v>1</v>
      </c>
      <c r="P62">
        <v>41.3504</v>
      </c>
      <c r="Q62" s="21"/>
      <c r="R62" s="21"/>
      <c r="S62" s="45"/>
    </row>
    <row r="63" spans="3:19" x14ac:dyDescent="0.25">
      <c r="C63" t="s">
        <v>169</v>
      </c>
      <c r="D63" t="s">
        <v>1</v>
      </c>
      <c r="F63">
        <v>28.183299999999999</v>
      </c>
      <c r="G63" s="21"/>
      <c r="H63" s="21"/>
      <c r="I63" s="45"/>
      <c r="M63" t="s">
        <v>169</v>
      </c>
      <c r="N63" t="s">
        <v>1</v>
      </c>
      <c r="P63">
        <v>28.849000000000004</v>
      </c>
      <c r="Q63" s="21"/>
      <c r="R63" s="21"/>
      <c r="S63" s="45"/>
    </row>
    <row r="64" spans="3:19" x14ac:dyDescent="0.25">
      <c r="C64" t="s">
        <v>170</v>
      </c>
      <c r="D64" t="s">
        <v>1</v>
      </c>
      <c r="F64">
        <v>20.2163</v>
      </c>
      <c r="G64" s="21"/>
      <c r="H64" s="21"/>
      <c r="I64" s="45"/>
      <c r="M64" t="s">
        <v>170</v>
      </c>
      <c r="N64" t="s">
        <v>1</v>
      </c>
      <c r="P64">
        <v>29.700000000000003</v>
      </c>
      <c r="Q64" s="21"/>
      <c r="R64" s="21"/>
      <c r="S64" s="45"/>
    </row>
    <row r="65" spans="3:19" x14ac:dyDescent="0.25">
      <c r="C65" t="s">
        <v>171</v>
      </c>
      <c r="D65" t="s">
        <v>1</v>
      </c>
      <c r="F65">
        <v>21.300000000000004</v>
      </c>
      <c r="G65" s="21"/>
      <c r="H65" s="21"/>
      <c r="I65" s="45"/>
      <c r="M65" t="s">
        <v>171</v>
      </c>
      <c r="N65" t="s">
        <v>1</v>
      </c>
      <c r="P65">
        <v>43.500700000000002</v>
      </c>
      <c r="Q65" s="21"/>
      <c r="R65" s="21"/>
      <c r="S65" s="45"/>
    </row>
    <row r="66" spans="3:19" x14ac:dyDescent="0.25">
      <c r="C66" t="s">
        <v>172</v>
      </c>
      <c r="D66" t="s">
        <v>1</v>
      </c>
      <c r="F66">
        <v>23.132999999999999</v>
      </c>
      <c r="G66" s="21"/>
      <c r="H66" s="21"/>
      <c r="I66" s="45"/>
      <c r="M66" t="s">
        <v>172</v>
      </c>
      <c r="N66" t="s">
        <v>1</v>
      </c>
      <c r="P66">
        <v>41.670999999999999</v>
      </c>
      <c r="Q66" s="21"/>
      <c r="R66" s="21"/>
      <c r="S66" s="45"/>
    </row>
    <row r="67" spans="3:19" x14ac:dyDescent="0.25">
      <c r="C67" t="s">
        <v>175</v>
      </c>
      <c r="D67" t="s">
        <v>1</v>
      </c>
      <c r="F67">
        <v>12.149999999999999</v>
      </c>
      <c r="G67" s="21"/>
      <c r="H67" s="21"/>
      <c r="I67" s="45"/>
      <c r="M67" t="s">
        <v>175</v>
      </c>
      <c r="N67" t="s">
        <v>1</v>
      </c>
      <c r="P67">
        <v>36.750000000000007</v>
      </c>
      <c r="Q67" s="21"/>
      <c r="R67" s="21"/>
      <c r="S67" s="45"/>
    </row>
    <row r="68" spans="3:19" x14ac:dyDescent="0.25">
      <c r="C68" t="s">
        <v>176</v>
      </c>
      <c r="D68" t="s">
        <v>1</v>
      </c>
      <c r="F68">
        <v>31.971999999999998</v>
      </c>
      <c r="G68" s="21"/>
      <c r="H68" s="21"/>
      <c r="I68" s="45"/>
      <c r="M68" t="s">
        <v>176</v>
      </c>
      <c r="N68" t="s">
        <v>1</v>
      </c>
      <c r="P68">
        <v>39.349999999999994</v>
      </c>
      <c r="Q68" s="21"/>
      <c r="R68" s="21"/>
      <c r="S68" s="45"/>
    </row>
    <row r="69" spans="3:19" x14ac:dyDescent="0.25">
      <c r="C69" t="s">
        <v>178</v>
      </c>
      <c r="D69" t="s">
        <v>1</v>
      </c>
      <c r="F69">
        <v>27.817</v>
      </c>
      <c r="G69" s="21"/>
      <c r="H69" s="21"/>
      <c r="I69" s="45"/>
      <c r="M69" t="s">
        <v>178</v>
      </c>
      <c r="N69" t="s">
        <v>1</v>
      </c>
      <c r="P69">
        <v>33.766000000000005</v>
      </c>
      <c r="Q69" s="21"/>
      <c r="R69" s="21"/>
      <c r="S69" s="45"/>
    </row>
    <row r="70" spans="3:19" x14ac:dyDescent="0.25">
      <c r="C70" t="s">
        <v>180</v>
      </c>
      <c r="D70" t="s">
        <v>1</v>
      </c>
      <c r="F70">
        <v>11.967000000000002</v>
      </c>
      <c r="G70" s="21"/>
      <c r="H70" s="21"/>
      <c r="I70" s="45"/>
      <c r="M70" t="s">
        <v>180</v>
      </c>
      <c r="N70" t="s">
        <v>1</v>
      </c>
      <c r="P70">
        <v>30.051000000000002</v>
      </c>
      <c r="Q70" s="21"/>
      <c r="R70" s="21"/>
      <c r="S70" s="45"/>
    </row>
    <row r="71" spans="3:19" x14ac:dyDescent="0.25">
      <c r="C71" t="s">
        <v>182</v>
      </c>
      <c r="D71" t="s">
        <v>1</v>
      </c>
      <c r="F71">
        <v>19.408999999999999</v>
      </c>
      <c r="G71" s="21"/>
      <c r="H71" s="21"/>
      <c r="I71" s="45"/>
      <c r="M71" t="s">
        <v>182</v>
      </c>
      <c r="N71" t="s">
        <v>1</v>
      </c>
      <c r="P71">
        <v>59.820500000000003</v>
      </c>
      <c r="Q71" s="21"/>
      <c r="R71" s="21"/>
      <c r="S71" s="45"/>
    </row>
    <row r="72" spans="3:19" x14ac:dyDescent="0.25">
      <c r="C72" t="s">
        <v>184</v>
      </c>
      <c r="D72" t="s">
        <v>1</v>
      </c>
      <c r="F72">
        <v>22.683</v>
      </c>
      <c r="G72" s="21"/>
      <c r="H72" s="21"/>
      <c r="I72" s="45"/>
      <c r="M72" t="s">
        <v>184</v>
      </c>
      <c r="N72" t="s">
        <v>1</v>
      </c>
      <c r="P72">
        <v>32.9</v>
      </c>
      <c r="Q72" s="21"/>
      <c r="R72" s="21"/>
      <c r="S72" s="45"/>
    </row>
    <row r="73" spans="3:19" x14ac:dyDescent="0.25">
      <c r="C73" t="s">
        <v>186</v>
      </c>
      <c r="D73" t="s">
        <v>1</v>
      </c>
      <c r="F73">
        <v>30.300999999999998</v>
      </c>
      <c r="G73" s="21"/>
      <c r="H73" s="21"/>
      <c r="I73" s="45"/>
      <c r="M73" t="s">
        <v>186</v>
      </c>
      <c r="N73" t="s">
        <v>1</v>
      </c>
      <c r="P73">
        <v>51.100299999999997</v>
      </c>
      <c r="Q73" s="21"/>
      <c r="R73" s="21"/>
      <c r="S73" s="45"/>
    </row>
    <row r="74" spans="3:19" x14ac:dyDescent="0.25">
      <c r="C74" t="s">
        <v>187</v>
      </c>
      <c r="D74" t="s">
        <v>1</v>
      </c>
      <c r="F74">
        <v>18</v>
      </c>
      <c r="G74" s="21"/>
      <c r="H74" s="21"/>
      <c r="I74" s="45"/>
      <c r="M74" t="s">
        <v>187</v>
      </c>
      <c r="N74" t="s">
        <v>1</v>
      </c>
      <c r="P74">
        <v>61.084000000000003</v>
      </c>
      <c r="Q74" s="21"/>
      <c r="R74" s="21"/>
      <c r="S74" s="45"/>
    </row>
    <row r="75" spans="3:19" x14ac:dyDescent="0.25">
      <c r="C75" t="s">
        <v>189</v>
      </c>
      <c r="D75" t="s">
        <v>1</v>
      </c>
      <c r="F75">
        <v>17.233000000000001</v>
      </c>
      <c r="G75" s="21"/>
      <c r="H75" s="21"/>
      <c r="I75" s="45"/>
      <c r="M75" t="s">
        <v>189</v>
      </c>
      <c r="N75" t="s">
        <v>1</v>
      </c>
      <c r="P75">
        <v>26.166</v>
      </c>
      <c r="Q75" s="21"/>
      <c r="R75" s="21"/>
      <c r="S75" s="45"/>
    </row>
    <row r="76" spans="3:19" x14ac:dyDescent="0.25">
      <c r="C76" t="s">
        <v>190</v>
      </c>
      <c r="D76" t="s">
        <v>1</v>
      </c>
      <c r="F76">
        <v>15.481999999999999</v>
      </c>
      <c r="G76" s="21"/>
      <c r="H76" s="21"/>
      <c r="I76" s="45"/>
      <c r="M76" t="s">
        <v>190</v>
      </c>
      <c r="N76" t="s">
        <v>1</v>
      </c>
      <c r="P76">
        <v>46.199700000000007</v>
      </c>
      <c r="Q76" s="21"/>
      <c r="R76" s="21"/>
      <c r="S76" s="45"/>
    </row>
    <row r="77" spans="3:19" x14ac:dyDescent="0.25">
      <c r="C77" t="s">
        <v>191</v>
      </c>
      <c r="D77" t="s">
        <v>1</v>
      </c>
      <c r="F77">
        <v>19.165699999999998</v>
      </c>
      <c r="G77" s="21"/>
      <c r="H77" s="21"/>
      <c r="I77" s="45"/>
      <c r="M77" t="s">
        <v>191</v>
      </c>
      <c r="N77" t="s">
        <v>1</v>
      </c>
      <c r="P77">
        <v>57.5336</v>
      </c>
      <c r="Q77" s="21"/>
      <c r="R77" s="21"/>
      <c r="S77" s="45"/>
    </row>
    <row r="78" spans="3:19" x14ac:dyDescent="0.25">
      <c r="C78" t="s">
        <v>194</v>
      </c>
      <c r="D78" t="s">
        <v>1</v>
      </c>
      <c r="F78">
        <v>19.5167</v>
      </c>
      <c r="G78" s="21"/>
      <c r="H78" s="21"/>
      <c r="I78" s="45"/>
      <c r="M78" t="s">
        <v>194</v>
      </c>
      <c r="N78" t="s">
        <v>1</v>
      </c>
      <c r="P78">
        <v>42.416000000000004</v>
      </c>
      <c r="Q78" s="21"/>
      <c r="R78" s="21"/>
      <c r="S78" s="45"/>
    </row>
    <row r="79" spans="3:19" x14ac:dyDescent="0.25">
      <c r="C79" t="s">
        <v>195</v>
      </c>
      <c r="D79" t="s">
        <v>1</v>
      </c>
      <c r="F79">
        <v>20.049999999999997</v>
      </c>
      <c r="G79" s="21"/>
      <c r="H79" s="21"/>
      <c r="I79" s="45"/>
      <c r="M79" t="s">
        <v>195</v>
      </c>
      <c r="N79" t="s">
        <v>1</v>
      </c>
      <c r="P79">
        <v>41.515999999999998</v>
      </c>
      <c r="Q79" s="21"/>
      <c r="R79" s="21"/>
      <c r="S79" s="45"/>
    </row>
    <row r="80" spans="3:19" x14ac:dyDescent="0.25">
      <c r="C80" t="s">
        <v>200</v>
      </c>
      <c r="D80" t="s">
        <v>1</v>
      </c>
      <c r="F80">
        <v>16.351300000000002</v>
      </c>
      <c r="G80" s="21"/>
      <c r="H80" s="21"/>
      <c r="I80" s="45"/>
      <c r="M80" t="s">
        <v>200</v>
      </c>
      <c r="N80" t="s">
        <v>1</v>
      </c>
      <c r="P80">
        <v>19.541999999999998</v>
      </c>
      <c r="Q80" s="21"/>
      <c r="R80" s="21"/>
      <c r="S80" s="45"/>
    </row>
    <row r="81" spans="3:19" x14ac:dyDescent="0.25">
      <c r="C81" t="s">
        <v>201</v>
      </c>
      <c r="D81" t="s">
        <v>1</v>
      </c>
      <c r="F81">
        <v>26.85</v>
      </c>
      <c r="G81" s="21"/>
      <c r="H81" s="21"/>
      <c r="I81" s="45"/>
      <c r="M81" t="s">
        <v>201</v>
      </c>
      <c r="N81" t="s">
        <v>1</v>
      </c>
      <c r="P81">
        <v>25.966999999999999</v>
      </c>
      <c r="Q81" s="21"/>
      <c r="R81" s="21"/>
      <c r="S81" s="45"/>
    </row>
    <row r="82" spans="3:19" x14ac:dyDescent="0.25">
      <c r="C82" t="s">
        <v>202</v>
      </c>
      <c r="D82" t="s">
        <v>1</v>
      </c>
      <c r="F82">
        <v>12.082999999999998</v>
      </c>
      <c r="G82" s="21"/>
      <c r="H82" s="21"/>
      <c r="I82" s="45"/>
      <c r="M82" t="s">
        <v>202</v>
      </c>
      <c r="N82" t="s">
        <v>1</v>
      </c>
      <c r="P82">
        <v>13.1</v>
      </c>
      <c r="Q82" s="21"/>
      <c r="R82" s="21"/>
      <c r="S82" s="45"/>
    </row>
    <row r="83" spans="3:19" x14ac:dyDescent="0.25">
      <c r="C83" t="s">
        <v>204</v>
      </c>
      <c r="D83" t="s">
        <v>1</v>
      </c>
      <c r="F83">
        <v>23.386199999999999</v>
      </c>
      <c r="G83" s="21"/>
      <c r="H83" s="21"/>
      <c r="I83" s="45"/>
      <c r="M83" t="s">
        <v>204</v>
      </c>
      <c r="N83" t="s">
        <v>1</v>
      </c>
      <c r="P83">
        <v>37.509300000000003</v>
      </c>
      <c r="Q83" s="21"/>
      <c r="R83" s="21"/>
      <c r="S83" s="45"/>
    </row>
    <row r="84" spans="3:19" x14ac:dyDescent="0.25">
      <c r="C84" t="s">
        <v>205</v>
      </c>
      <c r="D84" t="s">
        <v>1</v>
      </c>
      <c r="F84">
        <v>9.7840000000000007</v>
      </c>
      <c r="G84" s="21"/>
      <c r="H84" s="21"/>
      <c r="I84" s="45"/>
      <c r="M84" t="s">
        <v>205</v>
      </c>
      <c r="N84" t="s">
        <v>1</v>
      </c>
      <c r="P84">
        <v>19.549299999999999</v>
      </c>
      <c r="Q84" s="21"/>
      <c r="R84" s="21"/>
      <c r="S84" s="45"/>
    </row>
    <row r="85" spans="3:19" x14ac:dyDescent="0.25">
      <c r="C85" t="s">
        <v>206</v>
      </c>
      <c r="D85" t="s">
        <v>1</v>
      </c>
      <c r="F85">
        <v>42.033999999999999</v>
      </c>
      <c r="G85" s="21"/>
      <c r="H85" s="21"/>
      <c r="I85" s="45"/>
      <c r="M85" t="s">
        <v>206</v>
      </c>
      <c r="N85" t="s">
        <v>1</v>
      </c>
      <c r="P85">
        <v>31.0717</v>
      </c>
      <c r="Q85" s="21"/>
      <c r="R85" s="21"/>
      <c r="S85" s="45"/>
    </row>
    <row r="86" spans="3:19" x14ac:dyDescent="0.25">
      <c r="C86" t="s">
        <v>207</v>
      </c>
      <c r="D86" t="s">
        <v>1</v>
      </c>
      <c r="F86">
        <v>29.367000000000001</v>
      </c>
      <c r="G86" s="21"/>
      <c r="H86" s="21"/>
      <c r="I86" s="45"/>
      <c r="M86" t="s">
        <v>207</v>
      </c>
      <c r="N86" t="s">
        <v>1</v>
      </c>
      <c r="P86">
        <v>28.6493</v>
      </c>
      <c r="Q86" s="21"/>
      <c r="R86" s="21"/>
      <c r="S86" s="45"/>
    </row>
    <row r="87" spans="3:19" x14ac:dyDescent="0.25">
      <c r="C87" t="s">
        <v>209</v>
      </c>
      <c r="D87" t="s">
        <v>1</v>
      </c>
      <c r="F87">
        <v>15.649000000000001</v>
      </c>
      <c r="G87" s="21"/>
      <c r="H87" s="21"/>
      <c r="I87" s="45"/>
      <c r="M87" t="s">
        <v>209</v>
      </c>
      <c r="N87" t="s">
        <v>1</v>
      </c>
      <c r="P87">
        <v>21.351000000000003</v>
      </c>
      <c r="Q87" s="21"/>
      <c r="R87" s="21"/>
      <c r="S87" s="45"/>
    </row>
    <row r="88" spans="3:19" x14ac:dyDescent="0.25">
      <c r="C88" t="s">
        <v>216</v>
      </c>
      <c r="D88" t="s">
        <v>1</v>
      </c>
      <c r="F88">
        <v>15.3</v>
      </c>
      <c r="G88" s="21"/>
      <c r="H88" s="21"/>
      <c r="I88" s="45"/>
      <c r="M88" t="s">
        <v>216</v>
      </c>
      <c r="N88" t="s">
        <v>1</v>
      </c>
      <c r="P88">
        <v>33.483700000000006</v>
      </c>
      <c r="Q88" s="21"/>
      <c r="R88" s="21"/>
      <c r="S88" s="45"/>
    </row>
    <row r="89" spans="3:19" x14ac:dyDescent="0.25">
      <c r="C89" t="s">
        <v>217</v>
      </c>
      <c r="D89" t="s">
        <v>1</v>
      </c>
      <c r="F89">
        <v>7.3056999999999981</v>
      </c>
      <c r="G89" s="21"/>
      <c r="H89" s="21"/>
      <c r="I89" s="45"/>
      <c r="M89" t="s">
        <v>217</v>
      </c>
      <c r="N89" t="s">
        <v>1</v>
      </c>
      <c r="P89">
        <v>46.535999999999994</v>
      </c>
      <c r="Q89" s="21"/>
      <c r="R89" s="21"/>
      <c r="S89" s="45"/>
    </row>
    <row r="90" spans="3:19" x14ac:dyDescent="0.25">
      <c r="C90" t="s">
        <v>218</v>
      </c>
      <c r="D90" t="s">
        <v>1</v>
      </c>
      <c r="F90">
        <v>12.067</v>
      </c>
      <c r="G90" s="21"/>
      <c r="H90" s="21"/>
      <c r="I90" s="45"/>
      <c r="M90" t="s">
        <v>218</v>
      </c>
      <c r="N90" t="s">
        <v>1</v>
      </c>
      <c r="P90">
        <v>46.982999999999997</v>
      </c>
      <c r="Q90" s="21"/>
      <c r="R90" s="21"/>
      <c r="S90" s="45"/>
    </row>
    <row r="91" spans="3:19" x14ac:dyDescent="0.25">
      <c r="C91" t="s">
        <v>219</v>
      </c>
      <c r="D91" t="s">
        <v>1</v>
      </c>
      <c r="F91">
        <v>18.183</v>
      </c>
      <c r="G91" s="21"/>
      <c r="H91" s="21"/>
      <c r="I91" s="45"/>
      <c r="M91" t="s">
        <v>219</v>
      </c>
      <c r="N91" t="s">
        <v>1</v>
      </c>
      <c r="P91">
        <v>64.816300000000012</v>
      </c>
      <c r="Q91" s="21"/>
      <c r="R91" s="21"/>
      <c r="S91" s="45"/>
    </row>
    <row r="92" spans="3:19" x14ac:dyDescent="0.25">
      <c r="C92" t="s">
        <v>290</v>
      </c>
      <c r="D92" t="s">
        <v>1</v>
      </c>
      <c r="F92">
        <v>19.883299999999998</v>
      </c>
      <c r="G92" s="21"/>
      <c r="H92" s="21"/>
      <c r="I92" s="45"/>
      <c r="M92" t="s">
        <v>290</v>
      </c>
      <c r="N92" t="s">
        <v>1</v>
      </c>
      <c r="P92">
        <v>46.216999999999992</v>
      </c>
      <c r="Q92" s="21"/>
      <c r="R92" s="21"/>
      <c r="S92" s="45"/>
    </row>
    <row r="93" spans="3:19" x14ac:dyDescent="0.25">
      <c r="C93" t="s">
        <v>291</v>
      </c>
      <c r="D93" t="s">
        <v>1</v>
      </c>
      <c r="F93">
        <v>17.183299999999999</v>
      </c>
      <c r="G93" s="21"/>
      <c r="H93" s="21"/>
      <c r="I93" s="45"/>
      <c r="M93" t="s">
        <v>291</v>
      </c>
      <c r="N93" t="s">
        <v>1</v>
      </c>
      <c r="P93">
        <v>15.716700000000001</v>
      </c>
      <c r="Q93" s="21"/>
      <c r="R93" s="21"/>
      <c r="S93" s="45"/>
    </row>
    <row r="94" spans="3:19" x14ac:dyDescent="0.25">
      <c r="C94" t="s">
        <v>292</v>
      </c>
      <c r="D94" t="s">
        <v>1</v>
      </c>
      <c r="F94">
        <v>15.767000000000001</v>
      </c>
      <c r="G94" s="21"/>
      <c r="H94" s="21"/>
      <c r="I94" s="45"/>
      <c r="M94" t="s">
        <v>292</v>
      </c>
      <c r="N94" t="s">
        <v>1</v>
      </c>
      <c r="P94">
        <v>8.3333000000000013</v>
      </c>
      <c r="Q94" s="21"/>
      <c r="R94" s="21"/>
      <c r="S94" s="45"/>
    </row>
    <row r="95" spans="3:19" x14ac:dyDescent="0.25">
      <c r="C95" t="s">
        <v>294</v>
      </c>
      <c r="D95" t="s">
        <v>1</v>
      </c>
      <c r="F95">
        <v>13.616</v>
      </c>
      <c r="G95" s="21"/>
      <c r="H95" s="21"/>
      <c r="I95" s="45"/>
      <c r="M95" t="s">
        <v>294</v>
      </c>
      <c r="N95" t="s">
        <v>1</v>
      </c>
      <c r="P95">
        <v>6.2006999999999994</v>
      </c>
      <c r="Q95" s="21"/>
      <c r="R95" s="21"/>
      <c r="S95" s="45"/>
    </row>
    <row r="96" spans="3:19" x14ac:dyDescent="0.25">
      <c r="C96" t="s">
        <v>296</v>
      </c>
      <c r="D96" t="s">
        <v>1</v>
      </c>
      <c r="F96">
        <v>26.1</v>
      </c>
      <c r="G96" s="21"/>
      <c r="H96" s="21"/>
      <c r="I96" s="45"/>
      <c r="M96" t="s">
        <v>296</v>
      </c>
      <c r="N96" t="s">
        <v>1</v>
      </c>
      <c r="P96">
        <v>39.884000000000007</v>
      </c>
      <c r="Q96" s="21"/>
      <c r="R96" s="21"/>
      <c r="S96" s="45"/>
    </row>
    <row r="97" spans="3:19" x14ac:dyDescent="0.25">
      <c r="C97" t="s">
        <v>297</v>
      </c>
      <c r="D97" t="s">
        <v>1</v>
      </c>
      <c r="F97">
        <v>10.867000000000001</v>
      </c>
      <c r="G97" s="21"/>
      <c r="H97" s="21"/>
      <c r="I97" s="45"/>
      <c r="M97" t="s">
        <v>297</v>
      </c>
      <c r="N97" t="s">
        <v>1</v>
      </c>
      <c r="P97">
        <v>39.701999999999998</v>
      </c>
      <c r="Q97" s="21"/>
      <c r="R97" s="21"/>
      <c r="S97" s="45"/>
    </row>
    <row r="98" spans="3:19" x14ac:dyDescent="0.25">
      <c r="C98" t="s">
        <v>298</v>
      </c>
      <c r="D98" t="s">
        <v>1</v>
      </c>
      <c r="F98">
        <v>8.5829999999999984</v>
      </c>
      <c r="G98" s="21"/>
      <c r="H98" s="21"/>
      <c r="I98" s="45"/>
      <c r="M98" t="s">
        <v>298</v>
      </c>
      <c r="N98" t="s">
        <v>1</v>
      </c>
      <c r="P98">
        <v>8.85</v>
      </c>
      <c r="Q98" s="21"/>
      <c r="R98" s="21"/>
      <c r="S98" s="45"/>
    </row>
    <row r="99" spans="3:19" x14ac:dyDescent="0.25">
      <c r="C99" t="s">
        <v>300</v>
      </c>
      <c r="D99" t="s">
        <v>1</v>
      </c>
      <c r="F99">
        <v>28.067</v>
      </c>
      <c r="G99" s="21"/>
      <c r="H99" s="21"/>
      <c r="I99" s="45"/>
      <c r="M99" t="s">
        <v>300</v>
      </c>
      <c r="N99" t="s">
        <v>1</v>
      </c>
      <c r="P99">
        <v>48.633299999999998</v>
      </c>
      <c r="Q99" s="21"/>
      <c r="R99" s="21"/>
      <c r="S99" s="45"/>
    </row>
    <row r="100" spans="3:19" x14ac:dyDescent="0.25">
      <c r="C100" t="s">
        <v>303</v>
      </c>
      <c r="D100" t="s">
        <v>1</v>
      </c>
      <c r="F100">
        <v>21.25</v>
      </c>
      <c r="G100" s="21"/>
      <c r="H100" s="21"/>
      <c r="I100" s="45"/>
      <c r="M100" t="s">
        <v>303</v>
      </c>
      <c r="N100" t="s">
        <v>1</v>
      </c>
      <c r="P100">
        <v>30.383000000000003</v>
      </c>
      <c r="Q100" s="21"/>
      <c r="R100" s="21"/>
      <c r="S100" s="45"/>
    </row>
    <row r="101" spans="3:19" x14ac:dyDescent="0.25">
      <c r="C101" t="s">
        <v>305</v>
      </c>
      <c r="D101" t="s">
        <v>1</v>
      </c>
      <c r="F101">
        <v>14.968999999999998</v>
      </c>
      <c r="G101" s="21"/>
      <c r="H101" s="21"/>
      <c r="I101" s="45"/>
      <c r="M101" t="s">
        <v>305</v>
      </c>
      <c r="N101" t="s">
        <v>1</v>
      </c>
      <c r="P101">
        <v>67.398499999999999</v>
      </c>
      <c r="Q101" s="21"/>
      <c r="R101" s="21"/>
      <c r="S101" s="45"/>
    </row>
    <row r="102" spans="3:19" x14ac:dyDescent="0.25">
      <c r="C102" t="s">
        <v>306</v>
      </c>
      <c r="D102" t="s">
        <v>1</v>
      </c>
      <c r="F102">
        <v>23.798999999999999</v>
      </c>
      <c r="G102" s="21"/>
      <c r="H102" s="21"/>
      <c r="I102" s="45"/>
      <c r="M102" t="s">
        <v>306</v>
      </c>
      <c r="N102" t="s">
        <v>1</v>
      </c>
      <c r="P102">
        <v>33.482999999999997</v>
      </c>
      <c r="Q102" s="21"/>
      <c r="R102" s="21"/>
      <c r="S102" s="45"/>
    </row>
    <row r="103" spans="3:19" x14ac:dyDescent="0.25">
      <c r="C103" t="s">
        <v>56</v>
      </c>
      <c r="D103" t="s">
        <v>69</v>
      </c>
      <c r="G103">
        <v>17.95</v>
      </c>
      <c r="H103" s="21"/>
      <c r="I103" s="45"/>
      <c r="M103" t="s">
        <v>56</v>
      </c>
      <c r="N103" t="s">
        <v>69</v>
      </c>
      <c r="Q103">
        <v>57.766666666666666</v>
      </c>
      <c r="R103" s="21"/>
      <c r="S103" s="45"/>
    </row>
    <row r="104" spans="3:19" x14ac:dyDescent="0.25">
      <c r="C104" t="s">
        <v>57</v>
      </c>
      <c r="D104" t="s">
        <v>69</v>
      </c>
      <c r="G104">
        <v>29.099999999999998</v>
      </c>
      <c r="H104" s="21"/>
      <c r="I104" s="45"/>
      <c r="M104" t="s">
        <v>57</v>
      </c>
      <c r="N104" t="s">
        <v>69</v>
      </c>
      <c r="Q104">
        <v>44.332999999999998</v>
      </c>
      <c r="R104" s="21"/>
      <c r="S104" s="45"/>
    </row>
    <row r="105" spans="3:19" x14ac:dyDescent="0.25">
      <c r="C105" t="s">
        <v>145</v>
      </c>
      <c r="D105" t="s">
        <v>69</v>
      </c>
      <c r="G105">
        <v>19.249299999999998</v>
      </c>
      <c r="H105" s="21"/>
      <c r="I105" s="45"/>
      <c r="M105" t="s">
        <v>145</v>
      </c>
      <c r="N105" t="s">
        <v>69</v>
      </c>
      <c r="Q105">
        <v>15.75</v>
      </c>
      <c r="R105" s="21"/>
      <c r="S105" s="45"/>
    </row>
    <row r="106" spans="3:19" x14ac:dyDescent="0.25">
      <c r="C106" t="s">
        <v>150</v>
      </c>
      <c r="D106" t="s">
        <v>69</v>
      </c>
      <c r="G106">
        <v>35.849999999999994</v>
      </c>
      <c r="H106" s="21"/>
      <c r="I106" s="45"/>
      <c r="M106" t="s">
        <v>150</v>
      </c>
      <c r="N106" t="s">
        <v>69</v>
      </c>
      <c r="Q106">
        <v>62.499000000000009</v>
      </c>
      <c r="R106" s="21"/>
      <c r="S106" s="45"/>
    </row>
    <row r="107" spans="3:19" x14ac:dyDescent="0.25">
      <c r="C107" t="s">
        <v>165</v>
      </c>
      <c r="D107" t="s">
        <v>69</v>
      </c>
      <c r="G107">
        <v>13.353499999999999</v>
      </c>
      <c r="H107" s="21"/>
      <c r="I107" s="45"/>
      <c r="M107" t="s">
        <v>165</v>
      </c>
      <c r="N107" t="s">
        <v>69</v>
      </c>
      <c r="Q107">
        <v>27.739000000000001</v>
      </c>
      <c r="R107" s="21"/>
      <c r="S107" s="45"/>
    </row>
    <row r="108" spans="3:19" x14ac:dyDescent="0.25">
      <c r="C108" t="s">
        <v>177</v>
      </c>
      <c r="D108" t="s">
        <v>69</v>
      </c>
      <c r="G108">
        <v>30.716300000000004</v>
      </c>
      <c r="H108" s="21"/>
      <c r="I108" s="45"/>
      <c r="M108" t="s">
        <v>177</v>
      </c>
      <c r="N108" t="s">
        <v>69</v>
      </c>
      <c r="Q108">
        <v>40.414999999999999</v>
      </c>
      <c r="R108" s="21"/>
      <c r="S108" s="45"/>
    </row>
    <row r="109" spans="3:19" x14ac:dyDescent="0.25">
      <c r="C109" t="s">
        <v>179</v>
      </c>
      <c r="D109" t="s">
        <v>69</v>
      </c>
      <c r="G109">
        <v>24.167000000000002</v>
      </c>
      <c r="H109" s="21"/>
      <c r="I109" s="45"/>
      <c r="M109" t="s">
        <v>179</v>
      </c>
      <c r="N109" t="s">
        <v>69</v>
      </c>
      <c r="Q109">
        <v>22.016399999999997</v>
      </c>
      <c r="R109" s="21"/>
      <c r="S109" s="45"/>
    </row>
    <row r="110" spans="3:19" x14ac:dyDescent="0.25">
      <c r="C110" t="s">
        <v>185</v>
      </c>
      <c r="D110" t="s">
        <v>69</v>
      </c>
      <c r="G110">
        <v>34.224299999999999</v>
      </c>
      <c r="H110" s="21"/>
      <c r="I110" s="45"/>
      <c r="M110" t="s">
        <v>185</v>
      </c>
      <c r="N110" t="s">
        <v>69</v>
      </c>
      <c r="Q110">
        <v>20.515999999999998</v>
      </c>
      <c r="R110" s="21"/>
      <c r="S110" s="45"/>
    </row>
    <row r="111" spans="3:19" x14ac:dyDescent="0.25">
      <c r="C111" t="s">
        <v>192</v>
      </c>
      <c r="D111" t="s">
        <v>69</v>
      </c>
      <c r="G111">
        <v>26.967000000000006</v>
      </c>
      <c r="H111" s="21"/>
      <c r="I111" s="45"/>
      <c r="M111" t="s">
        <v>192</v>
      </c>
      <c r="N111" t="s">
        <v>69</v>
      </c>
      <c r="Q111">
        <v>20.882999999999999</v>
      </c>
      <c r="R111" s="21"/>
      <c r="S111" s="45"/>
    </row>
    <row r="112" spans="3:19" x14ac:dyDescent="0.25">
      <c r="C112" t="s">
        <v>199</v>
      </c>
      <c r="D112" t="s">
        <v>69</v>
      </c>
      <c r="G112">
        <v>18.0337</v>
      </c>
      <c r="H112" s="21"/>
      <c r="I112" s="45"/>
      <c r="M112" t="s">
        <v>199</v>
      </c>
      <c r="N112" t="s">
        <v>69</v>
      </c>
      <c r="Q112">
        <v>36.266299999999994</v>
      </c>
      <c r="R112" s="21"/>
      <c r="S112" s="45"/>
    </row>
    <row r="113" spans="3:19" x14ac:dyDescent="0.25">
      <c r="C113" t="s">
        <v>289</v>
      </c>
      <c r="D113" t="s">
        <v>69</v>
      </c>
      <c r="G113">
        <v>24.083300000000008</v>
      </c>
      <c r="H113" s="21"/>
      <c r="I113" s="45"/>
      <c r="M113" t="s">
        <v>289</v>
      </c>
      <c r="N113" t="s">
        <v>69</v>
      </c>
      <c r="Q113">
        <v>45.216999999999999</v>
      </c>
      <c r="R113" s="21"/>
      <c r="S113" s="45"/>
    </row>
    <row r="114" spans="3:19" x14ac:dyDescent="0.25">
      <c r="C114" t="s">
        <v>293</v>
      </c>
      <c r="D114" t="s">
        <v>69</v>
      </c>
      <c r="G114">
        <v>21.083000000000002</v>
      </c>
      <c r="H114" s="21"/>
      <c r="I114" s="45"/>
      <c r="M114" t="s">
        <v>293</v>
      </c>
      <c r="N114" t="s">
        <v>69</v>
      </c>
      <c r="Q114">
        <v>32.732700000000001</v>
      </c>
      <c r="R114" s="21"/>
      <c r="S114" s="45"/>
    </row>
    <row r="115" spans="3:19" x14ac:dyDescent="0.25">
      <c r="C115" t="s">
        <v>295</v>
      </c>
      <c r="D115" t="s">
        <v>69</v>
      </c>
      <c r="G115">
        <v>33.683</v>
      </c>
      <c r="H115" s="21"/>
      <c r="I115" s="45"/>
      <c r="M115" t="s">
        <v>295</v>
      </c>
      <c r="N115" t="s">
        <v>69</v>
      </c>
      <c r="Q115">
        <v>48.466999999999999</v>
      </c>
      <c r="R115" s="21"/>
      <c r="S115" s="45"/>
    </row>
    <row r="116" spans="3:19" x14ac:dyDescent="0.25">
      <c r="C116" t="s">
        <v>299</v>
      </c>
      <c r="D116" t="s">
        <v>69</v>
      </c>
      <c r="G116">
        <v>19.566299999999998</v>
      </c>
      <c r="H116" s="21"/>
      <c r="I116" s="45"/>
      <c r="M116" t="s">
        <v>299</v>
      </c>
      <c r="N116" t="s">
        <v>69</v>
      </c>
      <c r="Q116">
        <v>18.533000000000001</v>
      </c>
      <c r="R116" s="21"/>
      <c r="S116" s="45"/>
    </row>
    <row r="117" spans="3:19" x14ac:dyDescent="0.25">
      <c r="C117" t="s">
        <v>302</v>
      </c>
      <c r="D117" t="s">
        <v>69</v>
      </c>
      <c r="G117">
        <v>22.5</v>
      </c>
      <c r="H117" s="21"/>
      <c r="I117" s="45"/>
      <c r="M117" t="s">
        <v>302</v>
      </c>
      <c r="N117" t="s">
        <v>69</v>
      </c>
      <c r="Q117">
        <v>63</v>
      </c>
      <c r="R117" s="21"/>
      <c r="S117" s="45"/>
    </row>
    <row r="118" spans="3:19" x14ac:dyDescent="0.25">
      <c r="C118" t="s">
        <v>301</v>
      </c>
      <c r="D118" t="s">
        <v>313</v>
      </c>
      <c r="G118">
        <v>44.132999999999996</v>
      </c>
      <c r="H118" s="21"/>
      <c r="I118" s="45"/>
      <c r="M118" t="s">
        <v>301</v>
      </c>
      <c r="N118" t="s">
        <v>313</v>
      </c>
      <c r="Q118">
        <v>27.3</v>
      </c>
      <c r="R118" s="21"/>
      <c r="S118" s="45"/>
    </row>
    <row r="119" spans="3:19" x14ac:dyDescent="0.25">
      <c r="C119" t="s">
        <v>55</v>
      </c>
      <c r="D119" t="s">
        <v>68</v>
      </c>
      <c r="G119" s="21"/>
      <c r="H119">
        <v>21.816666666666666</v>
      </c>
      <c r="I119" s="45"/>
      <c r="M119" t="s">
        <v>55</v>
      </c>
      <c r="N119" t="s">
        <v>68</v>
      </c>
      <c r="Q119" s="21"/>
      <c r="R119">
        <v>24.65</v>
      </c>
      <c r="S119" s="45"/>
    </row>
    <row r="120" spans="3:19" x14ac:dyDescent="0.25">
      <c r="C120" t="s">
        <v>152</v>
      </c>
      <c r="D120" t="s">
        <v>68</v>
      </c>
      <c r="G120" s="21"/>
      <c r="H120">
        <v>21.95</v>
      </c>
      <c r="I120" s="45"/>
      <c r="M120" t="s">
        <v>152</v>
      </c>
      <c r="N120" t="s">
        <v>68</v>
      </c>
      <c r="Q120" s="21"/>
      <c r="R120">
        <v>32.850300000000004</v>
      </c>
      <c r="S120" s="45"/>
    </row>
    <row r="121" spans="3:19" x14ac:dyDescent="0.25">
      <c r="C121" t="s">
        <v>154</v>
      </c>
      <c r="D121" t="s">
        <v>68</v>
      </c>
      <c r="G121" s="21"/>
      <c r="H121">
        <v>16.400000000000002</v>
      </c>
      <c r="I121" s="45"/>
      <c r="M121" t="s">
        <v>154</v>
      </c>
      <c r="N121" t="s">
        <v>68</v>
      </c>
      <c r="Q121" s="21"/>
      <c r="R121">
        <v>27.980000000000004</v>
      </c>
      <c r="S121" s="45"/>
    </row>
    <row r="122" spans="3:19" x14ac:dyDescent="0.25">
      <c r="C122" t="s">
        <v>174</v>
      </c>
      <c r="D122" t="s">
        <v>68</v>
      </c>
      <c r="G122" s="21"/>
      <c r="H122">
        <v>27.716999999999999</v>
      </c>
      <c r="I122" s="45"/>
      <c r="M122" t="s">
        <v>174</v>
      </c>
      <c r="N122" t="s">
        <v>68</v>
      </c>
      <c r="Q122" s="21"/>
      <c r="R122">
        <v>52.750999999999998</v>
      </c>
      <c r="S122" s="45"/>
    </row>
    <row r="123" spans="3:19" x14ac:dyDescent="0.25">
      <c r="C123" t="s">
        <v>183</v>
      </c>
      <c r="D123" t="s">
        <v>68</v>
      </c>
      <c r="G123" s="21"/>
      <c r="H123">
        <v>16.032999999999998</v>
      </c>
      <c r="I123" s="45"/>
      <c r="M123" t="s">
        <v>183</v>
      </c>
      <c r="N123" t="s">
        <v>68</v>
      </c>
      <c r="Q123" s="21"/>
      <c r="R123">
        <v>38.116999999999997</v>
      </c>
      <c r="S123" s="45"/>
    </row>
    <row r="124" spans="3:19" x14ac:dyDescent="0.25">
      <c r="C124" t="s">
        <v>196</v>
      </c>
      <c r="D124" t="s">
        <v>68</v>
      </c>
      <c r="G124" s="21"/>
      <c r="H124">
        <v>26.700299999999999</v>
      </c>
      <c r="I124" s="45"/>
      <c r="M124" t="s">
        <v>196</v>
      </c>
      <c r="N124" t="s">
        <v>68</v>
      </c>
      <c r="Q124" s="21"/>
      <c r="R124">
        <v>29.432299999999998</v>
      </c>
      <c r="S124" s="45"/>
    </row>
    <row r="125" spans="3:19" x14ac:dyDescent="0.25">
      <c r="C125" t="s">
        <v>197</v>
      </c>
      <c r="D125" t="s">
        <v>68</v>
      </c>
      <c r="G125" s="21"/>
      <c r="H125">
        <v>18.183</v>
      </c>
      <c r="I125" s="45"/>
      <c r="M125" t="s">
        <v>197</v>
      </c>
      <c r="N125" t="s">
        <v>68</v>
      </c>
      <c r="Q125" s="21"/>
      <c r="R125">
        <v>29.467000000000002</v>
      </c>
      <c r="S125" s="45"/>
    </row>
    <row r="126" spans="3:19" x14ac:dyDescent="0.25">
      <c r="C126" t="s">
        <v>208</v>
      </c>
      <c r="D126" t="s">
        <v>68</v>
      </c>
      <c r="G126" s="21"/>
      <c r="H126">
        <v>33.742000000000004</v>
      </c>
      <c r="I126" s="45"/>
      <c r="M126" t="s">
        <v>208</v>
      </c>
      <c r="N126" t="s">
        <v>68</v>
      </c>
      <c r="Q126" s="21"/>
      <c r="R126">
        <v>60.104999999999997</v>
      </c>
      <c r="S126" s="45"/>
    </row>
    <row r="127" spans="3:19" x14ac:dyDescent="0.25">
      <c r="C127" t="s">
        <v>58</v>
      </c>
      <c r="D127" t="s">
        <v>71</v>
      </c>
      <c r="F127" s="21"/>
      <c r="G127" s="21"/>
      <c r="H127" s="21"/>
      <c r="I127">
        <v>18.364799999999999</v>
      </c>
      <c r="M127" t="s">
        <v>58</v>
      </c>
      <c r="N127" t="s">
        <v>71</v>
      </c>
      <c r="P127" s="21"/>
      <c r="Q127" s="21"/>
      <c r="R127" s="21"/>
      <c r="S127">
        <v>29.419</v>
      </c>
    </row>
    <row r="128" spans="3:19" x14ac:dyDescent="0.25">
      <c r="C128" t="s">
        <v>198</v>
      </c>
      <c r="D128" t="s">
        <v>71</v>
      </c>
      <c r="F128" s="21"/>
      <c r="G128" s="21"/>
      <c r="H128" s="21"/>
      <c r="I128">
        <v>19.497999999999998</v>
      </c>
      <c r="M128" t="s">
        <v>198</v>
      </c>
      <c r="N128" t="s">
        <v>71</v>
      </c>
      <c r="P128" s="21"/>
      <c r="Q128" s="21"/>
      <c r="R128" s="21"/>
      <c r="S128">
        <v>34.645199999999996</v>
      </c>
    </row>
    <row r="129" spans="3:19" x14ac:dyDescent="0.25">
      <c r="C129" t="s">
        <v>304</v>
      </c>
      <c r="D129" t="s">
        <v>71</v>
      </c>
      <c r="F129" s="21"/>
      <c r="G129" s="21"/>
      <c r="H129" s="21"/>
      <c r="I129">
        <v>23.483000000000004</v>
      </c>
      <c r="M129" t="s">
        <v>304</v>
      </c>
      <c r="N129" t="s">
        <v>71</v>
      </c>
      <c r="P129" s="21"/>
      <c r="Q129" s="21"/>
      <c r="R129" s="21"/>
      <c r="S129">
        <v>52.516999999999996</v>
      </c>
    </row>
  </sheetData>
  <sortState columnSort="1" ref="D34:CM38">
    <sortCondition ref="D35:CM35"/>
  </sortState>
  <mergeCells count="6">
    <mergeCell ref="A2:A35"/>
    <mergeCell ref="C27:E27"/>
    <mergeCell ref="C40:I40"/>
    <mergeCell ref="M40:S40"/>
    <mergeCell ref="C20:I20"/>
    <mergeCell ref="K20:Q20"/>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N133"/>
  <sheetViews>
    <sheetView workbookViewId="0">
      <selection sqref="A1:A34"/>
    </sheetView>
  </sheetViews>
  <sheetFormatPr defaultRowHeight="15" x14ac:dyDescent="0.25"/>
  <cols>
    <col min="1" max="1" width="19.140625" customWidth="1"/>
    <col min="3" max="3" width="19.140625" bestFit="1" customWidth="1"/>
    <col min="4" max="4" width="27.5703125" bestFit="1" customWidth="1"/>
    <col min="5" max="5" width="18.140625" bestFit="1" customWidth="1"/>
    <col min="6" max="6" width="16.140625" bestFit="1" customWidth="1"/>
    <col min="11" max="11" width="19.140625" bestFit="1" customWidth="1"/>
    <col min="13" max="13" width="18.5703125" bestFit="1" customWidth="1"/>
    <col min="17" max="17" width="12" bestFit="1" customWidth="1"/>
    <col min="18" max="18" width="18.140625" bestFit="1" customWidth="1"/>
    <col min="19" max="19" width="12.7109375" bestFit="1" customWidth="1"/>
    <col min="20" max="20" width="18.140625" bestFit="1" customWidth="1"/>
    <col min="21" max="21" width="12.85546875" bestFit="1" customWidth="1"/>
  </cols>
  <sheetData>
    <row r="1" spans="1:88" s="6" customFormat="1" x14ac:dyDescent="0.25">
      <c r="A1" s="344" t="s">
        <v>365</v>
      </c>
      <c r="C1" s="282" t="s">
        <v>274</v>
      </c>
      <c r="D1" s="228"/>
      <c r="E1" s="228"/>
      <c r="F1" s="228"/>
      <c r="G1" s="228"/>
      <c r="H1" s="228"/>
      <c r="I1" s="229"/>
      <c r="J1"/>
      <c r="K1" s="282" t="s">
        <v>275</v>
      </c>
      <c r="L1" s="228"/>
      <c r="M1" s="228"/>
      <c r="N1" s="228"/>
      <c r="O1" s="228"/>
      <c r="P1" s="228"/>
      <c r="Q1" s="229"/>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row>
    <row r="2" spans="1:88" s="162" customFormat="1" x14ac:dyDescent="0.25">
      <c r="A2" s="345"/>
      <c r="C2" s="44"/>
      <c r="D2" s="21"/>
      <c r="E2" s="21"/>
      <c r="F2" s="21"/>
      <c r="G2" s="21"/>
      <c r="H2" s="21"/>
      <c r="I2" s="45"/>
      <c r="J2"/>
      <c r="K2" s="44"/>
      <c r="L2" s="21"/>
      <c r="M2" s="21"/>
      <c r="N2" s="21"/>
      <c r="O2" s="21"/>
      <c r="P2" s="21"/>
      <c r="Q2" s="45"/>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row>
    <row r="3" spans="1:88" ht="15.75" thickBot="1" x14ac:dyDescent="0.3">
      <c r="A3" s="345"/>
      <c r="C3" s="44" t="s">
        <v>227</v>
      </c>
      <c r="D3" s="21"/>
      <c r="E3" s="21"/>
      <c r="F3" s="21"/>
      <c r="G3" s="21"/>
      <c r="H3" s="21"/>
      <c r="I3" s="45"/>
      <c r="K3" s="44" t="s">
        <v>227</v>
      </c>
      <c r="L3" s="21"/>
      <c r="M3" s="21"/>
      <c r="N3" s="21"/>
      <c r="O3" s="21"/>
      <c r="P3" s="21"/>
      <c r="Q3" s="45"/>
      <c r="CH3" s="9"/>
      <c r="CI3" s="9"/>
      <c r="CJ3" s="9"/>
    </row>
    <row r="4" spans="1:88" x14ac:dyDescent="0.25">
      <c r="A4" s="345"/>
      <c r="C4" s="230" t="s">
        <v>228</v>
      </c>
      <c r="D4" s="238" t="s">
        <v>83</v>
      </c>
      <c r="E4" s="238" t="s">
        <v>84</v>
      </c>
      <c r="F4" s="238" t="s">
        <v>229</v>
      </c>
      <c r="G4" s="238" t="s">
        <v>85</v>
      </c>
      <c r="H4" s="21"/>
      <c r="I4" s="45"/>
      <c r="K4" s="230" t="s">
        <v>228</v>
      </c>
      <c r="L4" s="238" t="s">
        <v>83</v>
      </c>
      <c r="M4" s="238" t="s">
        <v>84</v>
      </c>
      <c r="N4" s="238" t="s">
        <v>229</v>
      </c>
      <c r="O4" s="238" t="s">
        <v>85</v>
      </c>
      <c r="P4" s="21"/>
      <c r="Q4" s="45"/>
      <c r="CH4" s="9"/>
      <c r="CI4" s="9"/>
      <c r="CJ4" s="9"/>
    </row>
    <row r="5" spans="1:88" x14ac:dyDescent="0.25">
      <c r="A5" s="345"/>
      <c r="C5" s="231">
        <v>5</v>
      </c>
      <c r="D5" s="33">
        <v>2</v>
      </c>
      <c r="E5" s="33">
        <v>26.765999999999998</v>
      </c>
      <c r="F5" s="33">
        <v>13.382999999999999</v>
      </c>
      <c r="G5" s="33">
        <v>46.079999999999984</v>
      </c>
      <c r="H5" s="21"/>
      <c r="I5" s="45"/>
      <c r="K5" s="231">
        <v>5</v>
      </c>
      <c r="L5" s="33">
        <v>2</v>
      </c>
      <c r="M5" s="33">
        <v>73.666300000000007</v>
      </c>
      <c r="N5" s="33">
        <v>36.833150000000003</v>
      </c>
      <c r="O5" s="33">
        <v>1566.113367845001</v>
      </c>
      <c r="P5" s="21"/>
      <c r="Q5" s="45"/>
      <c r="CH5" s="9"/>
      <c r="CI5" s="9"/>
      <c r="CJ5" s="9"/>
    </row>
    <row r="6" spans="1:88" x14ac:dyDescent="0.25">
      <c r="A6" s="345"/>
      <c r="C6" s="231">
        <v>15</v>
      </c>
      <c r="D6" s="33">
        <v>26</v>
      </c>
      <c r="E6" s="33">
        <v>566.85029999999995</v>
      </c>
      <c r="F6" s="33">
        <v>21.801934615384614</v>
      </c>
      <c r="G6" s="33">
        <v>53.605994661553922</v>
      </c>
      <c r="H6" s="21"/>
      <c r="I6" s="45"/>
      <c r="K6" s="231">
        <v>15</v>
      </c>
      <c r="L6" s="33">
        <v>26</v>
      </c>
      <c r="M6" s="33">
        <v>771.03579999999988</v>
      </c>
      <c r="N6" s="33">
        <v>29.655223076923072</v>
      </c>
      <c r="O6" s="33">
        <v>127.82799980024647</v>
      </c>
      <c r="P6" s="21"/>
      <c r="Q6" s="45"/>
      <c r="CH6" s="9"/>
      <c r="CI6" s="9"/>
      <c r="CJ6" s="9"/>
    </row>
    <row r="7" spans="1:88" x14ac:dyDescent="0.25">
      <c r="A7" s="345"/>
      <c r="C7" s="231">
        <v>25</v>
      </c>
      <c r="D7" s="33">
        <v>4</v>
      </c>
      <c r="E7" s="33">
        <v>58.000999999999998</v>
      </c>
      <c r="F7" s="33">
        <v>14.500249999999999</v>
      </c>
      <c r="G7" s="33">
        <v>20.289881583333301</v>
      </c>
      <c r="H7" s="21"/>
      <c r="I7" s="45"/>
      <c r="K7" s="231">
        <v>25</v>
      </c>
      <c r="L7" s="33">
        <v>4</v>
      </c>
      <c r="M7" s="33">
        <v>166.01566666666668</v>
      </c>
      <c r="N7" s="33">
        <v>41.503916666666669</v>
      </c>
      <c r="O7" s="33">
        <v>18.470920472222186</v>
      </c>
      <c r="P7" s="21"/>
      <c r="Q7" s="45"/>
    </row>
    <row r="8" spans="1:88" x14ac:dyDescent="0.25">
      <c r="A8" s="345"/>
      <c r="C8" s="231">
        <v>35</v>
      </c>
      <c r="D8" s="33">
        <v>9</v>
      </c>
      <c r="E8" s="33">
        <v>189.898</v>
      </c>
      <c r="F8" s="33">
        <v>21.099777777777778</v>
      </c>
      <c r="G8" s="33">
        <v>43.408461444444583</v>
      </c>
      <c r="H8" s="21"/>
      <c r="I8" s="45"/>
      <c r="K8" s="231">
        <v>35</v>
      </c>
      <c r="L8" s="33">
        <v>9</v>
      </c>
      <c r="M8" s="33">
        <v>315.45240000000001</v>
      </c>
      <c r="N8" s="33">
        <v>35.050266666666666</v>
      </c>
      <c r="O8" s="33">
        <v>173.83481576750023</v>
      </c>
      <c r="P8" s="21"/>
      <c r="Q8" s="45"/>
    </row>
    <row r="9" spans="1:88" x14ac:dyDescent="0.25">
      <c r="A9" s="345"/>
      <c r="C9" s="231">
        <v>40</v>
      </c>
      <c r="D9" s="33">
        <v>12</v>
      </c>
      <c r="E9" s="33">
        <v>296.19170000000003</v>
      </c>
      <c r="F9" s="33">
        <v>24.682641666666669</v>
      </c>
      <c r="G9" s="33">
        <v>53.306131902651366</v>
      </c>
      <c r="H9" s="21"/>
      <c r="I9" s="45"/>
      <c r="K9" s="231">
        <v>40</v>
      </c>
      <c r="L9" s="33">
        <v>12</v>
      </c>
      <c r="M9" s="33">
        <v>583.70333333333338</v>
      </c>
      <c r="N9" s="33">
        <v>48.641944444444448</v>
      </c>
      <c r="O9" s="33">
        <v>135.50902101764288</v>
      </c>
      <c r="P9" s="21"/>
      <c r="Q9" s="45"/>
    </row>
    <row r="10" spans="1:88" x14ac:dyDescent="0.25">
      <c r="A10" s="345"/>
      <c r="C10" s="231">
        <v>50</v>
      </c>
      <c r="D10" s="33">
        <v>5</v>
      </c>
      <c r="E10" s="33">
        <v>116.49926666666668</v>
      </c>
      <c r="F10" s="33">
        <v>23.299853333333338</v>
      </c>
      <c r="G10" s="33">
        <v>26.36470781255548</v>
      </c>
      <c r="H10" s="21"/>
      <c r="I10" s="45"/>
      <c r="K10" s="231">
        <v>50</v>
      </c>
      <c r="L10" s="33">
        <v>5</v>
      </c>
      <c r="M10" s="33">
        <v>190.779</v>
      </c>
      <c r="N10" s="33">
        <v>38.155799999999999</v>
      </c>
      <c r="O10" s="33">
        <v>136.79053369999997</v>
      </c>
      <c r="P10" s="21"/>
      <c r="Q10" s="45"/>
    </row>
    <row r="11" spans="1:88" x14ac:dyDescent="0.25">
      <c r="A11" s="345"/>
      <c r="C11" s="231">
        <v>60</v>
      </c>
      <c r="D11" s="33">
        <v>16</v>
      </c>
      <c r="E11" s="33">
        <v>376.92029999999994</v>
      </c>
      <c r="F11" s="33">
        <v>23.557518749999996</v>
      </c>
      <c r="G11" s="33">
        <v>79.838030032291869</v>
      </c>
      <c r="H11" s="21"/>
      <c r="I11" s="45"/>
      <c r="K11" s="231">
        <v>60</v>
      </c>
      <c r="L11" s="33">
        <v>16</v>
      </c>
      <c r="M11" s="33">
        <v>548.32386666666673</v>
      </c>
      <c r="N11" s="33">
        <v>34.270241666666671</v>
      </c>
      <c r="O11" s="33">
        <v>211.56949678866633</v>
      </c>
      <c r="P11" s="21"/>
      <c r="Q11" s="45"/>
    </row>
    <row r="12" spans="1:88" x14ac:dyDescent="0.25">
      <c r="A12" s="345"/>
      <c r="C12" s="231">
        <v>80</v>
      </c>
      <c r="D12" s="33">
        <v>5</v>
      </c>
      <c r="E12" s="33">
        <v>93.037499999999994</v>
      </c>
      <c r="F12" s="33">
        <v>18.607499999999998</v>
      </c>
      <c r="G12" s="33">
        <v>44.213184820000038</v>
      </c>
      <c r="H12" s="21"/>
      <c r="I12" s="45"/>
      <c r="K12" s="231">
        <v>80</v>
      </c>
      <c r="L12" s="33">
        <v>5</v>
      </c>
      <c r="M12" s="33">
        <v>161.2047</v>
      </c>
      <c r="N12" s="33">
        <v>32.240940000000002</v>
      </c>
      <c r="O12" s="33">
        <v>80.169141158000002</v>
      </c>
      <c r="P12" s="21"/>
      <c r="Q12" s="45"/>
    </row>
    <row r="13" spans="1:88" x14ac:dyDescent="0.25">
      <c r="A13" s="345"/>
      <c r="C13" s="231">
        <v>85</v>
      </c>
      <c r="D13" s="33">
        <v>4</v>
      </c>
      <c r="E13" s="33">
        <v>79.936000000000007</v>
      </c>
      <c r="F13" s="33">
        <v>19.984000000000002</v>
      </c>
      <c r="G13" s="33">
        <v>76.421542666666483</v>
      </c>
      <c r="H13" s="21"/>
      <c r="I13" s="45"/>
      <c r="K13" s="231">
        <v>85</v>
      </c>
      <c r="L13" s="33">
        <v>4</v>
      </c>
      <c r="M13" s="33">
        <v>191.68380000000002</v>
      </c>
      <c r="N13" s="33">
        <v>47.920950000000005</v>
      </c>
      <c r="O13" s="33">
        <v>221.82958657666617</v>
      </c>
      <c r="P13" s="21"/>
      <c r="Q13" s="45"/>
    </row>
    <row r="14" spans="1:88" ht="15.75" thickBot="1" x14ac:dyDescent="0.3">
      <c r="A14" s="345"/>
      <c r="C14" s="232">
        <v>90</v>
      </c>
      <c r="D14" s="34">
        <v>5</v>
      </c>
      <c r="E14" s="34">
        <v>120.66630000000001</v>
      </c>
      <c r="F14" s="34">
        <v>24.13326</v>
      </c>
      <c r="G14" s="34">
        <v>83.480037637999885</v>
      </c>
      <c r="H14" s="21"/>
      <c r="I14" s="45"/>
      <c r="K14" s="232">
        <v>90</v>
      </c>
      <c r="L14" s="34">
        <v>5</v>
      </c>
      <c r="M14" s="34">
        <v>176.6977</v>
      </c>
      <c r="N14" s="34">
        <v>35.33954</v>
      </c>
      <c r="O14" s="34">
        <v>48.320954758000425</v>
      </c>
      <c r="P14" s="21"/>
      <c r="Q14" s="45"/>
    </row>
    <row r="15" spans="1:88" x14ac:dyDescent="0.25">
      <c r="A15" s="345"/>
      <c r="C15" s="44"/>
      <c r="D15" s="21">
        <f>SUM(D5:D14)</f>
        <v>88</v>
      </c>
      <c r="E15" s="21"/>
      <c r="F15" s="21"/>
      <c r="G15" s="21"/>
      <c r="H15" s="21"/>
      <c r="I15" s="45"/>
      <c r="K15" s="44"/>
      <c r="L15" s="21"/>
      <c r="M15" s="21"/>
      <c r="N15" s="21"/>
      <c r="O15" s="21"/>
      <c r="P15" s="21"/>
      <c r="Q15" s="45"/>
    </row>
    <row r="16" spans="1:88" x14ac:dyDescent="0.25">
      <c r="A16" s="345"/>
      <c r="C16" s="44"/>
      <c r="D16" s="21"/>
      <c r="E16" s="21"/>
      <c r="F16" s="21"/>
      <c r="G16" s="21"/>
      <c r="H16" s="21"/>
      <c r="I16" s="45"/>
      <c r="K16" s="44"/>
      <c r="L16" s="21"/>
      <c r="M16" s="21"/>
      <c r="N16" s="21"/>
      <c r="O16" s="21"/>
      <c r="P16" s="21"/>
      <c r="Q16" s="45"/>
    </row>
    <row r="17" spans="1:92" ht="15.75" thickBot="1" x14ac:dyDescent="0.3">
      <c r="A17" s="345"/>
      <c r="C17" s="44" t="s">
        <v>230</v>
      </c>
      <c r="D17" s="21"/>
      <c r="E17" s="21"/>
      <c r="F17" s="21"/>
      <c r="G17" s="21"/>
      <c r="H17" s="21"/>
      <c r="I17" s="45"/>
      <c r="K17" s="44" t="s">
        <v>230</v>
      </c>
      <c r="L17" s="21"/>
      <c r="M17" s="21"/>
      <c r="N17" s="21"/>
      <c r="O17" s="21"/>
      <c r="P17" s="21"/>
      <c r="Q17" s="45"/>
    </row>
    <row r="18" spans="1:92" ht="15.75" thickBot="1" x14ac:dyDescent="0.3">
      <c r="A18" s="345"/>
      <c r="C18" s="230" t="s">
        <v>231</v>
      </c>
      <c r="D18" s="238" t="s">
        <v>232</v>
      </c>
      <c r="E18" s="238" t="s">
        <v>86</v>
      </c>
      <c r="F18" s="238" t="s">
        <v>233</v>
      </c>
      <c r="G18" s="238" t="s">
        <v>87</v>
      </c>
      <c r="H18" s="236" t="s">
        <v>234</v>
      </c>
      <c r="I18" s="233" t="s">
        <v>235</v>
      </c>
      <c r="K18" s="230" t="s">
        <v>231</v>
      </c>
      <c r="L18" s="238" t="s">
        <v>232</v>
      </c>
      <c r="M18" s="238" t="s">
        <v>86</v>
      </c>
      <c r="N18" s="238" t="s">
        <v>233</v>
      </c>
      <c r="O18" s="238" t="s">
        <v>87</v>
      </c>
      <c r="P18" s="236" t="s">
        <v>234</v>
      </c>
      <c r="Q18" s="233" t="s">
        <v>235</v>
      </c>
    </row>
    <row r="19" spans="1:92" ht="15.75" thickBot="1" x14ac:dyDescent="0.3">
      <c r="A19" s="345"/>
      <c r="C19" s="231" t="s">
        <v>236</v>
      </c>
      <c r="D19" s="33">
        <v>610.54694746880978</v>
      </c>
      <c r="E19" s="33">
        <v>9</v>
      </c>
      <c r="F19" s="33">
        <v>67.838549718756639</v>
      </c>
      <c r="G19" s="33">
        <v>1.1961221437882958</v>
      </c>
      <c r="H19" s="269">
        <v>0.30954705186112969</v>
      </c>
      <c r="I19" s="234">
        <v>2.0022447142281856</v>
      </c>
      <c r="K19" s="231" t="s">
        <v>236</v>
      </c>
      <c r="L19" s="33">
        <v>3806.2772419892444</v>
      </c>
      <c r="M19" s="33">
        <v>9</v>
      </c>
      <c r="N19" s="33">
        <v>422.91969355436049</v>
      </c>
      <c r="O19" s="33">
        <v>2.6183532495398092</v>
      </c>
      <c r="P19" s="269">
        <v>1.066397754033099E-2</v>
      </c>
      <c r="Q19" s="234">
        <v>2.0022447142281856</v>
      </c>
    </row>
    <row r="20" spans="1:92" x14ac:dyDescent="0.25">
      <c r="A20" s="345"/>
      <c r="C20" s="231" t="s">
        <v>237</v>
      </c>
      <c r="D20" s="33">
        <v>4423.8014533401656</v>
      </c>
      <c r="E20" s="33">
        <v>78</v>
      </c>
      <c r="F20" s="33">
        <v>56.715403247950839</v>
      </c>
      <c r="G20" s="33"/>
      <c r="H20" s="33"/>
      <c r="I20" s="234"/>
      <c r="K20" s="231" t="s">
        <v>237</v>
      </c>
      <c r="L20" s="33">
        <v>12598.657611625897</v>
      </c>
      <c r="M20" s="33">
        <v>78</v>
      </c>
      <c r="N20" s="33">
        <v>161.52125143110123</v>
      </c>
      <c r="O20" s="33"/>
      <c r="P20" s="33"/>
      <c r="Q20" s="234"/>
    </row>
    <row r="21" spans="1:92" x14ac:dyDescent="0.25">
      <c r="A21" s="345"/>
      <c r="C21" s="231"/>
      <c r="D21" s="33"/>
      <c r="E21" s="33"/>
      <c r="F21" s="33"/>
      <c r="G21" s="33"/>
      <c r="H21" s="33"/>
      <c r="I21" s="234"/>
      <c r="K21" s="231"/>
      <c r="L21" s="33"/>
      <c r="M21" s="33"/>
      <c r="N21" s="33"/>
      <c r="O21" s="33"/>
      <c r="P21" s="33"/>
      <c r="Q21" s="234"/>
    </row>
    <row r="22" spans="1:92" ht="15.75" thickBot="1" x14ac:dyDescent="0.3">
      <c r="A22" s="345"/>
      <c r="C22" s="232" t="s">
        <v>238</v>
      </c>
      <c r="D22" s="34">
        <v>5034.3484008089754</v>
      </c>
      <c r="E22" s="34">
        <v>87</v>
      </c>
      <c r="F22" s="34"/>
      <c r="G22" s="34"/>
      <c r="H22" s="34"/>
      <c r="I22" s="235"/>
      <c r="K22" s="232" t="s">
        <v>238</v>
      </c>
      <c r="L22" s="34">
        <v>16404.934853615141</v>
      </c>
      <c r="M22" s="34">
        <v>87</v>
      </c>
      <c r="N22" s="34"/>
      <c r="O22" s="34"/>
      <c r="P22" s="34"/>
      <c r="Q22" s="235"/>
    </row>
    <row r="23" spans="1:92" ht="15.75" thickBot="1" x14ac:dyDescent="0.3">
      <c r="A23" s="345"/>
      <c r="C23" s="44"/>
      <c r="D23" s="21"/>
      <c r="E23" s="21"/>
      <c r="F23" s="21"/>
      <c r="G23" s="21"/>
      <c r="H23" s="21"/>
      <c r="I23" s="45"/>
      <c r="K23" s="44"/>
      <c r="L23" s="21"/>
      <c r="M23" s="21"/>
      <c r="N23" s="21"/>
      <c r="O23" s="21"/>
      <c r="P23" s="21"/>
      <c r="Q23" s="45"/>
    </row>
    <row r="24" spans="1:92" ht="15.75" thickBot="1" x14ac:dyDescent="0.3">
      <c r="A24" s="345"/>
      <c r="C24" s="404" t="s">
        <v>367</v>
      </c>
      <c r="D24" s="405"/>
      <c r="E24" s="405"/>
      <c r="F24" s="405"/>
      <c r="G24" s="405"/>
      <c r="H24" s="405"/>
      <c r="I24" s="406"/>
      <c r="K24" s="404" t="s">
        <v>366</v>
      </c>
      <c r="L24" s="405"/>
      <c r="M24" s="405"/>
      <c r="N24" s="405"/>
      <c r="O24" s="405"/>
      <c r="P24" s="405"/>
      <c r="Q24" s="406"/>
    </row>
    <row r="25" spans="1:92" ht="15.75" thickBot="1" x14ac:dyDescent="0.3">
      <c r="A25" s="345"/>
    </row>
    <row r="26" spans="1:92" ht="19.5" thickBot="1" x14ac:dyDescent="0.35">
      <c r="A26" s="345"/>
      <c r="D26" s="410" t="s">
        <v>355</v>
      </c>
      <c r="E26" s="411"/>
      <c r="F26" s="412"/>
    </row>
    <row r="27" spans="1:92" x14ac:dyDescent="0.25">
      <c r="A27" s="345"/>
      <c r="C27" s="6"/>
      <c r="D27" s="36" t="str">
        <f>'Data For Analysis'!C1</f>
        <v>Type</v>
      </c>
      <c r="E27" s="37" t="str">
        <f>'Task Durations'!BU1</f>
        <v>076-13</v>
      </c>
      <c r="F27" s="37" t="str">
        <f>'Task Durations'!CE1</f>
        <v>086-13</v>
      </c>
      <c r="G27" s="37" t="str">
        <f>'Task Durations'!R1</f>
        <v>015-13</v>
      </c>
      <c r="H27" s="37" t="str">
        <f>'Task Durations'!W1</f>
        <v>021-13</v>
      </c>
      <c r="I27" s="37" t="str">
        <f>'Task Durations'!AE1</f>
        <v>030-13</v>
      </c>
      <c r="J27" s="37" t="str">
        <f>'Task Durations'!AF1</f>
        <v>031-13</v>
      </c>
      <c r="K27" s="37" t="str">
        <f>'Task Durations'!AG1</f>
        <v>032-13</v>
      </c>
      <c r="L27" s="37" t="str">
        <f>'Task Durations'!AJ1</f>
        <v>035-13</v>
      </c>
      <c r="M27" s="37" t="str">
        <f>'Task Durations'!AK1</f>
        <v>036-13</v>
      </c>
      <c r="N27" s="37" t="str">
        <f>'Task Durations'!AU1</f>
        <v>047-13</v>
      </c>
      <c r="O27" s="37" t="str">
        <f>'Task Durations'!BB1</f>
        <v>055-13</v>
      </c>
      <c r="P27" s="37" t="str">
        <f>'Task Durations'!BE1</f>
        <v>059-13</v>
      </c>
      <c r="Q27" s="37" t="str">
        <f>'Task Durations'!BF1</f>
        <v>060-13</v>
      </c>
      <c r="R27" s="37" t="str">
        <f>'Task Durations'!BG1</f>
        <v>061-13</v>
      </c>
      <c r="S27" s="37" t="str">
        <f>'Task Durations'!BH1</f>
        <v>062-13</v>
      </c>
      <c r="T27" s="37" t="str">
        <f>'Task Durations'!BI1</f>
        <v>063-13</v>
      </c>
      <c r="U27" s="37" t="str">
        <f>'Task Durations'!BL1</f>
        <v>067-13</v>
      </c>
      <c r="V27" s="37" t="str">
        <f>'Task Durations'!BM1</f>
        <v>068-13</v>
      </c>
      <c r="W27" s="37" t="str">
        <f>'Task Durations'!BO1</f>
        <v>070-13</v>
      </c>
      <c r="X27" s="37" t="str">
        <f>'Task Durations'!BR1</f>
        <v>073-13</v>
      </c>
      <c r="Y27" s="37" t="str">
        <f>'Task Durations'!BW1</f>
        <v>078-13</v>
      </c>
      <c r="Z27" s="37" t="str">
        <f>'Task Durations'!BX1</f>
        <v>079-13</v>
      </c>
      <c r="AA27" s="37" t="str">
        <f>'Task Durations'!BY1</f>
        <v>080-13</v>
      </c>
      <c r="AB27" s="37" t="str">
        <f>'Task Durations'!CA1</f>
        <v>082-13</v>
      </c>
      <c r="AC27" s="37" t="str">
        <f>'Task Durations'!CB1</f>
        <v>083-13</v>
      </c>
      <c r="AD27" s="37" t="str">
        <f>'Task Durations'!CC1</f>
        <v>084-13</v>
      </c>
      <c r="AE27" s="37" t="str">
        <f>'Task Durations'!CF1</f>
        <v>087-13</v>
      </c>
      <c r="AF27" s="37" t="str">
        <f>'Task Durations'!CH1</f>
        <v>089-13</v>
      </c>
      <c r="AG27" s="37" t="str">
        <f>'Task Durations'!D1</f>
        <v>001-13</v>
      </c>
      <c r="AH27" s="37" t="str">
        <f>'Task Durations'!P1</f>
        <v>013-13</v>
      </c>
      <c r="AI27" s="37" t="str">
        <f>'Task Durations'!AM1</f>
        <v>038-13</v>
      </c>
      <c r="AJ27" s="37" t="str">
        <f>'Task Durations'!BT1</f>
        <v>075-13</v>
      </c>
      <c r="AK27" s="37" t="str">
        <f>'Task Durations'!H1</f>
        <v>005-13</v>
      </c>
      <c r="AL27" s="37" t="str">
        <f>'Task Durations'!K1</f>
        <v>008-13</v>
      </c>
      <c r="AM27" s="37" t="str">
        <f>'Task Durations'!N1</f>
        <v>011-13</v>
      </c>
      <c r="AN27" s="37" t="str">
        <f>'Task Durations'!O1</f>
        <v>012-13</v>
      </c>
      <c r="AO27" s="37" t="str">
        <f>'Task Durations'!AR1</f>
        <v>043-13</v>
      </c>
      <c r="AP27" s="37" t="str">
        <f>'Task Durations'!AX1</f>
        <v>050-13</v>
      </c>
      <c r="AQ27" s="37" t="str">
        <f>'Task Durations'!AZ1</f>
        <v>053-13</v>
      </c>
      <c r="AR27" s="37" t="str">
        <f>'Task Durations'!BJ1</f>
        <v>064-13</v>
      </c>
      <c r="AS27" s="37" t="str">
        <f>'Task Durations'!BQ1</f>
        <v>072-13</v>
      </c>
      <c r="AT27" s="37" t="str">
        <f>'Task Durations'!F1</f>
        <v>003-13</v>
      </c>
      <c r="AU27" s="37" t="str">
        <f>'Task Durations'!G1</f>
        <v>004-13</v>
      </c>
      <c r="AV27" s="37" t="str">
        <f>'Task Durations'!V1</f>
        <v>020-13</v>
      </c>
      <c r="AW27" s="37" t="str">
        <f>'Task Durations'!Y1</f>
        <v>023-13</v>
      </c>
      <c r="AX27" s="37" t="str">
        <f>'Task Durations'!AB1</f>
        <v>027-13</v>
      </c>
      <c r="AY27" s="37" t="str">
        <f>'Task Durations'!AI1</f>
        <v>034-13</v>
      </c>
      <c r="AZ27" s="37" t="str">
        <f>'Task Durations'!BA1</f>
        <v>054-13</v>
      </c>
      <c r="BA27" s="37" t="str">
        <f>'Task Durations'!BC1</f>
        <v>057-13</v>
      </c>
      <c r="BB27" s="37" t="str">
        <f>'Task Durations'!BD1</f>
        <v>058-13</v>
      </c>
      <c r="BC27" s="37" t="str">
        <f>'Task Durations'!BP1</f>
        <v>071-13</v>
      </c>
      <c r="BD27" s="37" t="str">
        <f>'Task Durations'!CG1</f>
        <v>088-13</v>
      </c>
      <c r="BE27" s="37" t="str">
        <f>'Task Durations'!CI1</f>
        <v>090-13</v>
      </c>
      <c r="BF27" s="37" t="str">
        <f>'Task Durations'!I1</f>
        <v>006-13</v>
      </c>
      <c r="BG27" s="37" t="str">
        <f>'Task Durations'!Z1</f>
        <v>024-13</v>
      </c>
      <c r="BH27" s="37" t="str">
        <f>'Task Durations'!AO1</f>
        <v>040-13</v>
      </c>
      <c r="BI27" s="37" t="str">
        <f>'Task Durations'!BV1</f>
        <v>077-13</v>
      </c>
      <c r="BJ27" s="37" t="str">
        <f>'Task Durations'!CK1</f>
        <v>092-13</v>
      </c>
      <c r="BK27" s="37" t="str">
        <f>'Task Durations'!J1</f>
        <v>007-13</v>
      </c>
      <c r="BL27" s="37" t="str">
        <f>'Task Durations'!Q1</f>
        <v>014-13</v>
      </c>
      <c r="BM27" s="37" t="str">
        <f>'Task Durations'!S1</f>
        <v>017-13</v>
      </c>
      <c r="BN27" s="37" t="str">
        <f>'Task Durations'!T1</f>
        <v>018-13</v>
      </c>
      <c r="BO27" s="37" t="str">
        <f>'Task Durations'!AA1</f>
        <v>026-13</v>
      </c>
      <c r="BP27" s="37" t="str">
        <f>'Task Durations'!AC1</f>
        <v>028-13</v>
      </c>
      <c r="BQ27" s="37" t="str">
        <f>'Task Durations'!AD1</f>
        <v>029-13</v>
      </c>
      <c r="BR27" s="37" t="str">
        <f>'Task Durations'!AL1</f>
        <v>037-13</v>
      </c>
      <c r="BS27" s="37" t="str">
        <f>'Task Durations'!AN1</f>
        <v>039-13</v>
      </c>
      <c r="BT27" s="37" t="str">
        <f>'Task Durations'!AP1</f>
        <v>041-13</v>
      </c>
      <c r="BU27" s="37" t="str">
        <f>'Task Durations'!AS1</f>
        <v>045-13</v>
      </c>
      <c r="BV27" s="37" t="str">
        <f>'Task Durations'!AT1</f>
        <v>046-13</v>
      </c>
      <c r="BW27" s="37" t="str">
        <f>'Task Durations'!AV1</f>
        <v>048-13</v>
      </c>
      <c r="BX27" s="37" t="str">
        <f>'Task Durations'!BK1</f>
        <v>065-13</v>
      </c>
      <c r="BY27" s="37" t="str">
        <f>'Task Durations'!BN1</f>
        <v>069-13</v>
      </c>
      <c r="BZ27" s="37" t="str">
        <f>'Task Durations'!BZ1</f>
        <v>081-13</v>
      </c>
      <c r="CA27" s="37" t="str">
        <f>'Task Durations'!L1</f>
        <v>009-13</v>
      </c>
      <c r="CB27" s="37" t="str">
        <f>'Task Durations'!X1</f>
        <v>022-13</v>
      </c>
      <c r="CC27" s="37" t="str">
        <f>'Task Durations'!AQ1</f>
        <v>042-13</v>
      </c>
      <c r="CD27" s="37" t="str">
        <f>'Task Durations'!BS1</f>
        <v>074-13</v>
      </c>
      <c r="CE27" s="37" t="str">
        <f>'Task Durations'!CJ1</f>
        <v>091-13</v>
      </c>
      <c r="CF27" s="37" t="str">
        <f>'Task Durations'!AW1</f>
        <v>049-13</v>
      </c>
      <c r="CG27" s="37" t="str">
        <f>'Task Durations'!CD1</f>
        <v>085-13</v>
      </c>
      <c r="CH27" s="37" t="str">
        <f>'Task Durations'!CL1</f>
        <v>093-13</v>
      </c>
      <c r="CI27" s="37" t="str">
        <f>'Task Durations'!CM1</f>
        <v>094-13</v>
      </c>
      <c r="CJ27" s="37" t="str">
        <f>'Task Durations'!E1</f>
        <v>002-13</v>
      </c>
      <c r="CK27" s="37" t="str">
        <f>'Task Durations'!M1</f>
        <v>010-13</v>
      </c>
      <c r="CL27" s="37" t="str">
        <f>'Task Durations'!U1</f>
        <v>019-13</v>
      </c>
      <c r="CM27" s="37" t="str">
        <f>'Task Durations'!AH1</f>
        <v>033-13</v>
      </c>
      <c r="CN27" s="160" t="str">
        <f>'Task Durations'!AY1</f>
        <v>052-13</v>
      </c>
    </row>
    <row r="28" spans="1:92" x14ac:dyDescent="0.25">
      <c r="A28" s="345"/>
      <c r="C28" s="162"/>
      <c r="D28" s="245" t="s">
        <v>16</v>
      </c>
      <c r="E28" s="246">
        <f>VLOOKUP(E27,Establishments!$A$2:$D$200,4)</f>
        <v>5</v>
      </c>
      <c r="F28" s="246">
        <f>VLOOKUP(F27,Establishments!$A$2:$D$200,4)</f>
        <v>5</v>
      </c>
      <c r="G28" s="246">
        <f>VLOOKUP(G27,Establishments!$A$2:$D$200,4)</f>
        <v>15</v>
      </c>
      <c r="H28" s="246">
        <f>VLOOKUP(H27,Establishments!$A$2:$D$200,4)</f>
        <v>15</v>
      </c>
      <c r="I28" s="246">
        <f>VLOOKUP(I27,Establishments!$A$2:$D$200,4)</f>
        <v>15</v>
      </c>
      <c r="J28" s="246">
        <f>VLOOKUP(J27,Establishments!$A$2:$D$200,4)</f>
        <v>15</v>
      </c>
      <c r="K28" s="246">
        <f>VLOOKUP(K27,Establishments!$A$2:$D$200,4)</f>
        <v>15</v>
      </c>
      <c r="L28" s="246">
        <f>VLOOKUP(L27,Establishments!$A$2:$D$200,4)</f>
        <v>15</v>
      </c>
      <c r="M28" s="246">
        <f>VLOOKUP(M27,Establishments!$A$2:$D$200,4)</f>
        <v>15</v>
      </c>
      <c r="N28" s="246">
        <f>VLOOKUP(N27,Establishments!$A$2:$D$200,4)</f>
        <v>15</v>
      </c>
      <c r="O28" s="246">
        <f>VLOOKUP(O27,Establishments!$A$2:$D$200,4)</f>
        <v>15</v>
      </c>
      <c r="P28" s="246">
        <f>VLOOKUP(P27,Establishments!$A$2:$D$200,4)</f>
        <v>15</v>
      </c>
      <c r="Q28" s="246">
        <f>VLOOKUP(Q27,Establishments!$A$2:$D$200,4)</f>
        <v>15</v>
      </c>
      <c r="R28" s="246">
        <f>VLOOKUP(R27,Establishments!$A$2:$D$200,4)</f>
        <v>15</v>
      </c>
      <c r="S28" s="246">
        <f>VLOOKUP(S27,Establishments!$A$2:$D$200,4)</f>
        <v>15</v>
      </c>
      <c r="T28" s="246">
        <f>VLOOKUP(T27,Establishments!$A$2:$D$200,4)</f>
        <v>15</v>
      </c>
      <c r="U28" s="246">
        <f>VLOOKUP(U27,Establishments!$A$2:$D$200,4)</f>
        <v>15</v>
      </c>
      <c r="V28" s="246">
        <f>VLOOKUP(V27,Establishments!$A$2:$D$200,4)</f>
        <v>15</v>
      </c>
      <c r="W28" s="246">
        <f>VLOOKUP(W27,Establishments!$A$2:$D$200,4)</f>
        <v>15</v>
      </c>
      <c r="X28" s="246">
        <f>VLOOKUP(X27,Establishments!$A$2:$D$200,4)</f>
        <v>15</v>
      </c>
      <c r="Y28" s="246">
        <f>VLOOKUP(Y27,Establishments!$A$2:$D$200,4)</f>
        <v>15</v>
      </c>
      <c r="Z28" s="246">
        <f>VLOOKUP(Z27,Establishments!$A$2:$D$200,4)</f>
        <v>15</v>
      </c>
      <c r="AA28" s="246">
        <f>VLOOKUP(AA27,Establishments!$A$2:$D$200,4)</f>
        <v>15</v>
      </c>
      <c r="AB28" s="246">
        <f>VLOOKUP(AB27,Establishments!$A$2:$D$200,4)</f>
        <v>15</v>
      </c>
      <c r="AC28" s="246">
        <f>VLOOKUP(AC27,Establishments!$A$2:$D$200,4)</f>
        <v>15</v>
      </c>
      <c r="AD28" s="246">
        <f>VLOOKUP(AD27,Establishments!$A$2:$D$200,4)</f>
        <v>15</v>
      </c>
      <c r="AE28" s="246">
        <f>VLOOKUP(AE27,Establishments!$A$2:$D$200,4)</f>
        <v>15</v>
      </c>
      <c r="AF28" s="246">
        <f>VLOOKUP(AF27,Establishments!$A$2:$D$200,4)</f>
        <v>15</v>
      </c>
      <c r="AG28" s="246">
        <f>VLOOKUP(AG27,Establishments!$A$2:$D$200,4)</f>
        <v>25</v>
      </c>
      <c r="AH28" s="246">
        <f>VLOOKUP(AH27,Establishments!$A$2:$D$200,4)</f>
        <v>25</v>
      </c>
      <c r="AI28" s="246">
        <f>VLOOKUP(AI27,Establishments!$A$2:$D$200,4)</f>
        <v>25</v>
      </c>
      <c r="AJ28" s="246">
        <f>VLOOKUP(AJ27,Establishments!$A$2:$D$200,4)</f>
        <v>25</v>
      </c>
      <c r="AK28" s="246">
        <f>VLOOKUP(AK27,Establishments!$A$2:$D$200,4)</f>
        <v>35</v>
      </c>
      <c r="AL28" s="246">
        <f>VLOOKUP(AL27,Establishments!$A$2:$D$200,4)</f>
        <v>35</v>
      </c>
      <c r="AM28" s="246">
        <f>VLOOKUP(AM27,Establishments!$A$2:$D$200,4)</f>
        <v>35</v>
      </c>
      <c r="AN28" s="246">
        <f>VLOOKUP(AN27,Establishments!$A$2:$D$200,4)</f>
        <v>35</v>
      </c>
      <c r="AO28" s="246">
        <f>VLOOKUP(AO27,Establishments!$A$2:$D$200,4)</f>
        <v>35</v>
      </c>
      <c r="AP28" s="246">
        <f>VLOOKUP(AP27,Establishments!$A$2:$D$200,4)</f>
        <v>35</v>
      </c>
      <c r="AQ28" s="246">
        <f>VLOOKUP(AQ27,Establishments!$A$2:$D$200,4)</f>
        <v>35</v>
      </c>
      <c r="AR28" s="246">
        <f>VLOOKUP(AR27,Establishments!$A$2:$D$200,4)</f>
        <v>35</v>
      </c>
      <c r="AS28" s="246">
        <f>VLOOKUP(AS27,Establishments!$A$2:$D$200,4)</f>
        <v>35</v>
      </c>
      <c r="AT28" s="246">
        <f>VLOOKUP(AT27,Establishments!$A$2:$D$200,4)</f>
        <v>40</v>
      </c>
      <c r="AU28" s="246">
        <f>VLOOKUP(AU27,Establishments!$A$2:$D$200,4)</f>
        <v>40</v>
      </c>
      <c r="AV28" s="246">
        <f>VLOOKUP(AV27,Establishments!$A$2:$D$200,4)</f>
        <v>40</v>
      </c>
      <c r="AW28" s="246">
        <f>VLOOKUP(AW27,Establishments!$A$2:$D$200,4)</f>
        <v>40</v>
      </c>
      <c r="AX28" s="246">
        <f>VLOOKUP(AX27,Establishments!$A$2:$D$200,4)</f>
        <v>40</v>
      </c>
      <c r="AY28" s="246">
        <f>VLOOKUP(AY27,Establishments!$A$2:$D$200,4)</f>
        <v>40</v>
      </c>
      <c r="AZ28" s="246">
        <f>VLOOKUP(AZ27,Establishments!$A$2:$D$200,4)</f>
        <v>40</v>
      </c>
      <c r="BA28" s="246">
        <f>VLOOKUP(BA27,Establishments!$A$2:$D$200,4)</f>
        <v>40</v>
      </c>
      <c r="BB28" s="246">
        <f>VLOOKUP(BB27,Establishments!$A$2:$D$200,4)</f>
        <v>40</v>
      </c>
      <c r="BC28" s="246">
        <f>VLOOKUP(BC27,Establishments!$A$2:$D$200,4)</f>
        <v>40</v>
      </c>
      <c r="BD28" s="246">
        <f>VLOOKUP(BD27,Establishments!$A$2:$D$200,4)</f>
        <v>40</v>
      </c>
      <c r="BE28" s="246">
        <f>VLOOKUP(BE27,Establishments!$A$2:$D$200,4)</f>
        <v>40</v>
      </c>
      <c r="BF28" s="246">
        <f>VLOOKUP(BF27,Establishments!$A$2:$D$200,4)</f>
        <v>50</v>
      </c>
      <c r="BG28" s="246">
        <f>VLOOKUP(BG27,Establishments!$A$2:$D$200,4)</f>
        <v>50</v>
      </c>
      <c r="BH28" s="246">
        <f>VLOOKUP(BH27,Establishments!$A$2:$D$200,4)</f>
        <v>50</v>
      </c>
      <c r="BI28" s="246">
        <f>VLOOKUP(BI27,Establishments!$A$2:$D$200,4)</f>
        <v>50</v>
      </c>
      <c r="BJ28" s="246">
        <f>VLOOKUP(BJ27,Establishments!$A$2:$D$200,4)</f>
        <v>50</v>
      </c>
      <c r="BK28" s="246">
        <f>VLOOKUP(BK27,Establishments!$A$2:$D$200,4)</f>
        <v>60</v>
      </c>
      <c r="BL28" s="246">
        <f>VLOOKUP(BL27,Establishments!$A$2:$D$200,4)</f>
        <v>60</v>
      </c>
      <c r="BM28" s="246">
        <f>VLOOKUP(BM27,Establishments!$A$2:$D$200,4)</f>
        <v>60</v>
      </c>
      <c r="BN28" s="246">
        <f>VLOOKUP(BN27,Establishments!$A$2:$D$200,4)</f>
        <v>60</v>
      </c>
      <c r="BO28" s="246">
        <f>VLOOKUP(BO27,Establishments!$A$2:$D$200,4)</f>
        <v>60</v>
      </c>
      <c r="BP28" s="246">
        <f>VLOOKUP(BP27,Establishments!$A$2:$D$200,4)</f>
        <v>60</v>
      </c>
      <c r="BQ28" s="246">
        <f>VLOOKUP(BQ27,Establishments!$A$2:$D$200,4)</f>
        <v>60</v>
      </c>
      <c r="BR28" s="246">
        <f>VLOOKUP(BR27,Establishments!$A$2:$D$200,4)</f>
        <v>60</v>
      </c>
      <c r="BS28" s="246">
        <f>VLOOKUP(BS27,Establishments!$A$2:$D$200,4)</f>
        <v>60</v>
      </c>
      <c r="BT28" s="246">
        <f>VLOOKUP(BT27,Establishments!$A$2:$D$200,4)</f>
        <v>60</v>
      </c>
      <c r="BU28" s="246">
        <f>VLOOKUP(BU27,Establishments!$A$2:$D$200,4)</f>
        <v>60</v>
      </c>
      <c r="BV28" s="246">
        <f>VLOOKUP(BV27,Establishments!$A$2:$D$200,4)</f>
        <v>60</v>
      </c>
      <c r="BW28" s="246">
        <f>VLOOKUP(BW27,Establishments!$A$2:$D$200,4)</f>
        <v>60</v>
      </c>
      <c r="BX28" s="246">
        <f>VLOOKUP(BX27,Establishments!$A$2:$D$200,4)</f>
        <v>60</v>
      </c>
      <c r="BY28" s="246">
        <f>VLOOKUP(BY27,Establishments!$A$2:$D$200,4)</f>
        <v>60</v>
      </c>
      <c r="BZ28" s="246">
        <f>VLOOKUP(BZ27,Establishments!$A$2:$D$200,4)</f>
        <v>60</v>
      </c>
      <c r="CA28" s="246">
        <f>VLOOKUP(CA27,Establishments!$A$2:$D$200,4)</f>
        <v>80</v>
      </c>
      <c r="CB28" s="246">
        <f>VLOOKUP(CB27,Establishments!$A$2:$D$200,4)</f>
        <v>80</v>
      </c>
      <c r="CC28" s="246">
        <f>VLOOKUP(CC27,Establishments!$A$2:$D$200,4)</f>
        <v>80</v>
      </c>
      <c r="CD28" s="246">
        <f>VLOOKUP(CD27,Establishments!$A$2:$D$200,4)</f>
        <v>80</v>
      </c>
      <c r="CE28" s="246">
        <f>VLOOKUP(CE27,Establishments!$A$2:$D$200,4)</f>
        <v>80</v>
      </c>
      <c r="CF28" s="246">
        <f>VLOOKUP(CF27,Establishments!$A$2:$D$200,4)</f>
        <v>85</v>
      </c>
      <c r="CG28" s="246">
        <f>VLOOKUP(CG27,Establishments!$A$2:$D$200,4)</f>
        <v>85</v>
      </c>
      <c r="CH28" s="246">
        <f>VLOOKUP(CH27,Establishments!$A$2:$D$200,4)</f>
        <v>85</v>
      </c>
      <c r="CI28" s="246">
        <f>VLOOKUP(CI27,Establishments!$A$2:$D$200,4)</f>
        <v>85</v>
      </c>
      <c r="CJ28" s="246">
        <f>VLOOKUP(CJ27,Establishments!$A$2:$D$200,4)</f>
        <v>90</v>
      </c>
      <c r="CK28" s="246">
        <f>VLOOKUP(CK27,Establishments!$A$2:$D$200,4)</f>
        <v>90</v>
      </c>
      <c r="CL28" s="246">
        <f>VLOOKUP(CL27,Establishments!$A$2:$D$200,4)</f>
        <v>90</v>
      </c>
      <c r="CM28" s="246">
        <f>VLOOKUP(CM27,Establishments!$A$2:$D$200,4)</f>
        <v>90</v>
      </c>
      <c r="CN28" s="247">
        <f>VLOOKUP(CN27,Establishments!$A$2:$D$200,4)</f>
        <v>90</v>
      </c>
    </row>
    <row r="29" spans="1:92" x14ac:dyDescent="0.25">
      <c r="A29" s="345"/>
      <c r="D29" s="44" t="s">
        <v>78</v>
      </c>
      <c r="E29" s="221">
        <f>'Task Durations'!BU36</f>
        <v>18.183</v>
      </c>
      <c r="F29" s="221">
        <f>'Task Durations'!CE36</f>
        <v>8.5829999999999984</v>
      </c>
      <c r="G29" s="221">
        <f>'Task Durations'!R36</f>
        <v>19.249299999999998</v>
      </c>
      <c r="H29" s="221">
        <f>'Task Durations'!W36</f>
        <v>14.600000000000001</v>
      </c>
      <c r="I29" s="221">
        <f>'Task Durations'!AE36</f>
        <v>20.265999999999998</v>
      </c>
      <c r="J29" s="221">
        <f>'Task Durations'!AF36</f>
        <v>16.150300000000001</v>
      </c>
      <c r="K29" s="221">
        <f>'Task Durations'!AG36</f>
        <v>28.183299999999999</v>
      </c>
      <c r="L29" s="221">
        <f>'Task Durations'!AJ36</f>
        <v>23.132999999999999</v>
      </c>
      <c r="M29" s="221">
        <f>'Task Durations'!AK36</f>
        <v>29.082999999999998</v>
      </c>
      <c r="N29" s="221">
        <f>'Task Durations'!AU36</f>
        <v>22.683</v>
      </c>
      <c r="O29" s="221">
        <f>'Task Durations'!BB36</f>
        <v>26.967000000000006</v>
      </c>
      <c r="P29" s="221">
        <f>'Task Durations'!BE36</f>
        <v>26.700299999999999</v>
      </c>
      <c r="Q29" s="221">
        <f>'Task Durations'!BF36</f>
        <v>18.183</v>
      </c>
      <c r="R29" s="221">
        <f>'Task Durations'!BG36</f>
        <v>19.497999999999998</v>
      </c>
      <c r="S29" s="221">
        <f>'Task Durations'!BH36</f>
        <v>18.0337</v>
      </c>
      <c r="T29" s="221">
        <f>'Task Durations'!BI36</f>
        <v>16.351300000000002</v>
      </c>
      <c r="U29" s="221">
        <f>'Task Durations'!BL36</f>
        <v>23.386199999999999</v>
      </c>
      <c r="V29" s="221">
        <f>'Task Durations'!BM36</f>
        <v>9.7840000000000007</v>
      </c>
      <c r="W29" s="221">
        <f>'Task Durations'!BO36</f>
        <v>29.367000000000001</v>
      </c>
      <c r="X29" s="221">
        <f>'Task Durations'!BR36</f>
        <v>15.3</v>
      </c>
      <c r="Y29" s="221">
        <f>'Task Durations'!BW36</f>
        <v>19.883299999999998</v>
      </c>
      <c r="Z29" s="221">
        <f>'Task Durations'!BX36</f>
        <v>17.183299999999999</v>
      </c>
      <c r="AA29" s="221">
        <f>'Task Durations'!BY36</f>
        <v>15.767000000000001</v>
      </c>
      <c r="AB29" s="221">
        <f>'Task Durations'!CA36</f>
        <v>13.616</v>
      </c>
      <c r="AC29" s="221">
        <f>'Task Durations'!CB36</f>
        <v>33.683</v>
      </c>
      <c r="AD29" s="221">
        <f>'Task Durations'!CC36</f>
        <v>26.1</v>
      </c>
      <c r="AE29" s="221">
        <f>'Task Durations'!CF36</f>
        <v>19.566299999999998</v>
      </c>
      <c r="AF29" s="221">
        <f>'Task Durations'!CH36</f>
        <v>44.132999999999996</v>
      </c>
      <c r="AG29" s="221">
        <f>'Task Durations'!D36</f>
        <v>21.25</v>
      </c>
      <c r="AH29" s="221">
        <f>'Task Durations'!P36</f>
        <v>12.533999999999999</v>
      </c>
      <c r="AI29" s="221">
        <f>'Task Durations'!AM36</f>
        <v>12.149999999999999</v>
      </c>
      <c r="AJ29" s="221">
        <f>'Task Durations'!BT36</f>
        <v>12.067</v>
      </c>
      <c r="AK29" s="221">
        <f>'Task Durations'!H36</f>
        <v>17.683</v>
      </c>
      <c r="AL29" s="221">
        <f>'Task Durations'!K36</f>
        <v>29.099999999999998</v>
      </c>
      <c r="AM29" s="221">
        <f>'Task Durations'!N36</f>
        <v>27.867000000000001</v>
      </c>
      <c r="AN29" s="221">
        <f>'Task Durations'!O36</f>
        <v>27.299999999999997</v>
      </c>
      <c r="AO29" s="221">
        <f>'Task Durations'!AR36</f>
        <v>11.967000000000002</v>
      </c>
      <c r="AP29" s="221">
        <f>'Task Durations'!AX36</f>
        <v>18</v>
      </c>
      <c r="AQ29" s="221">
        <f>'Task Durations'!AZ36</f>
        <v>15.481999999999999</v>
      </c>
      <c r="AR29" s="221">
        <f>'Task Durations'!BJ36</f>
        <v>26.85</v>
      </c>
      <c r="AS29" s="221">
        <f>'Task Durations'!BQ36</f>
        <v>15.649000000000001</v>
      </c>
      <c r="AT29" s="221">
        <f>'Task Durations'!F36</f>
        <v>37.800000000000004</v>
      </c>
      <c r="AU29" s="221">
        <f>'Task Durations'!G36</f>
        <v>22.699999999999996</v>
      </c>
      <c r="AV29" s="221">
        <f>'Task Durations'!V36</f>
        <v>35.849999999999994</v>
      </c>
      <c r="AW29" s="221">
        <f>'Task Durations'!Y36</f>
        <v>18.533000000000001</v>
      </c>
      <c r="AX29" s="221">
        <f>'Task Durations'!AB36</f>
        <v>16.967300000000002</v>
      </c>
      <c r="AY29" s="221">
        <f>'Task Durations'!AI36</f>
        <v>21.300000000000004</v>
      </c>
      <c r="AZ29" s="221">
        <f>'Task Durations'!BA36</f>
        <v>19.165699999999998</v>
      </c>
      <c r="BA29" s="221">
        <f>'Task Durations'!BC36</f>
        <v>19.5167</v>
      </c>
      <c r="BB29" s="221">
        <f>'Task Durations'!BD36</f>
        <v>20.049999999999997</v>
      </c>
      <c r="BC29" s="221">
        <f>'Task Durations'!BP36</f>
        <v>33.742000000000004</v>
      </c>
      <c r="BD29" s="221">
        <f>'Task Durations'!CG36</f>
        <v>28.067</v>
      </c>
      <c r="BE29" s="221">
        <f>'Task Durations'!CI36</f>
        <v>22.5</v>
      </c>
      <c r="BF29" s="221">
        <f>'Task Durations'!I36</f>
        <v>21.816666666666666</v>
      </c>
      <c r="BG29" s="221">
        <f>'Task Durations'!Z36</f>
        <v>16.400000000000002</v>
      </c>
      <c r="BH29" s="221">
        <f>'Task Durations'!AO36</f>
        <v>30.716300000000004</v>
      </c>
      <c r="BI29" s="221">
        <f>'Task Durations'!BV36</f>
        <v>24.083300000000008</v>
      </c>
      <c r="BJ29" s="221">
        <f>'Task Durations'!CK36</f>
        <v>23.483000000000004</v>
      </c>
      <c r="BK29" s="221">
        <f>'Task Durations'!J36</f>
        <v>17.95</v>
      </c>
      <c r="BL29" s="221">
        <f>'Task Durations'!Q36</f>
        <v>28.850999999999999</v>
      </c>
      <c r="BM29" s="221">
        <f>'Task Durations'!S36</f>
        <v>14.064499999999999</v>
      </c>
      <c r="BN29" s="221">
        <f>'Task Durations'!T36</f>
        <v>26.050999999999998</v>
      </c>
      <c r="BO29" s="221">
        <f>'Task Durations'!AA36</f>
        <v>31.1</v>
      </c>
      <c r="BP29" s="221">
        <f>'Task Durations'!AC36</f>
        <v>13.353499999999999</v>
      </c>
      <c r="BQ29" s="221">
        <f>'Task Durations'!AD36</f>
        <v>13.178000000000001</v>
      </c>
      <c r="BR29" s="221">
        <f>'Task Durations'!AL36</f>
        <v>27.716999999999999</v>
      </c>
      <c r="BS29" s="221">
        <f>'Task Durations'!AN36</f>
        <v>31.971999999999998</v>
      </c>
      <c r="BT29" s="221">
        <f>'Task Durations'!AP36</f>
        <v>27.817</v>
      </c>
      <c r="BU29" s="221">
        <f>'Task Durations'!AS36</f>
        <v>19.408999999999999</v>
      </c>
      <c r="BV29" s="221">
        <f>'Task Durations'!AT36</f>
        <v>16.032999999999998</v>
      </c>
      <c r="BW29" s="221">
        <f>'Task Durations'!AV36</f>
        <v>34.224299999999999</v>
      </c>
      <c r="BX29" s="221">
        <f>'Task Durations'!BK36</f>
        <v>12.082999999999998</v>
      </c>
      <c r="BY29" s="221">
        <f>'Task Durations'!BN36</f>
        <v>42.033999999999999</v>
      </c>
      <c r="BZ29" s="221">
        <f>'Task Durations'!BZ36</f>
        <v>21.083000000000002</v>
      </c>
      <c r="CA29" s="221">
        <f>'Task Durations'!L36</f>
        <v>18.364799999999999</v>
      </c>
      <c r="CB29" s="221">
        <f>'Task Durations'!X36</f>
        <v>21.95</v>
      </c>
      <c r="CC29" s="221">
        <f>'Task Durations'!AQ36</f>
        <v>24.167000000000002</v>
      </c>
      <c r="CD29" s="221">
        <f>'Task Durations'!BS36</f>
        <v>7.3056999999999981</v>
      </c>
      <c r="CE29" s="221">
        <f>'Task Durations'!CJ36</f>
        <v>21.25</v>
      </c>
      <c r="CF29" s="221">
        <f>'Task Durations'!AW36</f>
        <v>30.300999999999998</v>
      </c>
      <c r="CG29" s="221">
        <f>'Task Durations'!CD36</f>
        <v>10.867000000000001</v>
      </c>
      <c r="CH29" s="221">
        <f>'Task Durations'!CL36</f>
        <v>14.968999999999998</v>
      </c>
      <c r="CI29" s="221">
        <f>'Task Durations'!CM36</f>
        <v>23.798999999999999</v>
      </c>
      <c r="CJ29" s="221">
        <f>'Task Durations'!E36</f>
        <v>17.266999999999996</v>
      </c>
      <c r="CK29" s="221">
        <f>'Task Durations'!M36</f>
        <v>38.783000000000001</v>
      </c>
      <c r="CL29" s="221">
        <f>'Task Durations'!U36</f>
        <v>27.166999999999998</v>
      </c>
      <c r="CM29" s="221">
        <f>'Task Durations'!AH36</f>
        <v>20.2163</v>
      </c>
      <c r="CN29" s="222">
        <f>'Task Durations'!AY36</f>
        <v>17.233000000000001</v>
      </c>
    </row>
    <row r="30" spans="1:92" ht="15.75" thickBot="1" x14ac:dyDescent="0.3">
      <c r="A30" s="345"/>
      <c r="D30" s="67" t="s">
        <v>79</v>
      </c>
      <c r="E30" s="223">
        <f>'Task Durations'!BU37</f>
        <v>64.816300000000012</v>
      </c>
      <c r="F30" s="223">
        <f>'Task Durations'!CE37</f>
        <v>8.85</v>
      </c>
      <c r="G30" s="223">
        <f>'Task Durations'!R37</f>
        <v>15.75</v>
      </c>
      <c r="H30" s="223">
        <f>'Task Durations'!W37</f>
        <v>31.766300000000001</v>
      </c>
      <c r="I30" s="223">
        <f>'Task Durations'!AE37</f>
        <v>43.187000000000005</v>
      </c>
      <c r="J30" s="223">
        <f>'Task Durations'!AF37</f>
        <v>41.3504</v>
      </c>
      <c r="K30" s="223">
        <f>'Task Durations'!AG37</f>
        <v>28.849000000000004</v>
      </c>
      <c r="L30" s="223">
        <f>'Task Durations'!AJ37</f>
        <v>41.670999999999999</v>
      </c>
      <c r="M30" s="223">
        <f>'Task Durations'!AK37</f>
        <v>35.482999999999997</v>
      </c>
      <c r="N30" s="223">
        <f>'Task Durations'!AU37</f>
        <v>32.9</v>
      </c>
      <c r="O30" s="223">
        <f>'Task Durations'!BB37</f>
        <v>20.882999999999999</v>
      </c>
      <c r="P30" s="223">
        <f>'Task Durations'!BE37</f>
        <v>29.432299999999998</v>
      </c>
      <c r="Q30" s="223">
        <f>'Task Durations'!BF37</f>
        <v>29.467000000000002</v>
      </c>
      <c r="R30" s="223">
        <f>'Task Durations'!BG37</f>
        <v>34.645199999999996</v>
      </c>
      <c r="S30" s="223">
        <f>'Task Durations'!BH37</f>
        <v>36.266299999999994</v>
      </c>
      <c r="T30" s="223">
        <f>'Task Durations'!BI37</f>
        <v>19.541999999999998</v>
      </c>
      <c r="U30" s="223">
        <f>'Task Durations'!BL37</f>
        <v>37.509300000000003</v>
      </c>
      <c r="V30" s="223">
        <f>'Task Durations'!BM37</f>
        <v>19.549299999999999</v>
      </c>
      <c r="W30" s="223">
        <f>'Task Durations'!BO37</f>
        <v>28.6493</v>
      </c>
      <c r="X30" s="223">
        <f>'Task Durations'!BR37</f>
        <v>33.483700000000006</v>
      </c>
      <c r="Y30" s="223">
        <f>'Task Durations'!BW37</f>
        <v>46.216999999999992</v>
      </c>
      <c r="Z30" s="223">
        <f>'Task Durations'!BX37</f>
        <v>15.716700000000001</v>
      </c>
      <c r="AA30" s="223">
        <f>'Task Durations'!BY37</f>
        <v>8.3333000000000013</v>
      </c>
      <c r="AB30" s="223">
        <f>'Task Durations'!CA37</f>
        <v>6.2006999999999994</v>
      </c>
      <c r="AC30" s="223">
        <f>'Task Durations'!CB37</f>
        <v>48.466999999999999</v>
      </c>
      <c r="AD30" s="223">
        <f>'Task Durations'!CC37</f>
        <v>39.884000000000007</v>
      </c>
      <c r="AE30" s="223">
        <f>'Task Durations'!CF37</f>
        <v>18.533000000000001</v>
      </c>
      <c r="AF30" s="223">
        <f>'Task Durations'!CH37</f>
        <v>27.3</v>
      </c>
      <c r="AG30" s="223">
        <f>'Task Durations'!D37</f>
        <v>40.016666666666666</v>
      </c>
      <c r="AH30" s="223">
        <f>'Task Durations'!P37</f>
        <v>42.265999999999998</v>
      </c>
      <c r="AI30" s="223">
        <f>'Task Durations'!AM37</f>
        <v>36.750000000000007</v>
      </c>
      <c r="AJ30" s="223">
        <f>'Task Durations'!BT37</f>
        <v>46.982999999999997</v>
      </c>
      <c r="AK30" s="223">
        <f>'Task Durations'!H37</f>
        <v>25.465999999999998</v>
      </c>
      <c r="AL30" s="223">
        <f>'Task Durations'!K37</f>
        <v>44.332999999999998</v>
      </c>
      <c r="AM30" s="223">
        <f>'Task Durations'!N37</f>
        <v>36.5837</v>
      </c>
      <c r="AN30" s="223">
        <f>'Task Durations'!O37</f>
        <v>24.417000000000002</v>
      </c>
      <c r="AO30" s="223">
        <f>'Task Durations'!AR37</f>
        <v>30.051000000000002</v>
      </c>
      <c r="AP30" s="223">
        <f>'Task Durations'!AX37</f>
        <v>61.084000000000003</v>
      </c>
      <c r="AQ30" s="223">
        <f>'Task Durations'!AZ37</f>
        <v>46.199700000000007</v>
      </c>
      <c r="AR30" s="223">
        <f>'Task Durations'!BJ37</f>
        <v>25.966999999999999</v>
      </c>
      <c r="AS30" s="223">
        <f>'Task Durations'!BQ37</f>
        <v>21.351000000000003</v>
      </c>
      <c r="AT30" s="223">
        <f>'Task Durations'!F37</f>
        <v>32.733333333333334</v>
      </c>
      <c r="AU30" s="223">
        <f>'Task Durations'!G37</f>
        <v>26.717999999999993</v>
      </c>
      <c r="AV30" s="223">
        <f>'Task Durations'!V37</f>
        <v>62.499000000000009</v>
      </c>
      <c r="AW30" s="223">
        <f>'Task Durations'!Y37</f>
        <v>51.498699999999999</v>
      </c>
      <c r="AX30" s="223">
        <f>'Task Durations'!AB37</f>
        <v>53.549700000000001</v>
      </c>
      <c r="AY30" s="223">
        <f>'Task Durations'!AI37</f>
        <v>43.500700000000002</v>
      </c>
      <c r="AZ30" s="223">
        <f>'Task Durations'!BA37</f>
        <v>57.5336</v>
      </c>
      <c r="BA30" s="223">
        <f>'Task Durations'!BC37</f>
        <v>42.416000000000004</v>
      </c>
      <c r="BB30" s="223">
        <f>'Task Durations'!BD37</f>
        <v>41.515999999999998</v>
      </c>
      <c r="BC30" s="223">
        <f>'Task Durations'!BP37</f>
        <v>60.104999999999997</v>
      </c>
      <c r="BD30" s="223">
        <f>'Task Durations'!CG37</f>
        <v>48.633299999999998</v>
      </c>
      <c r="BE30" s="223">
        <f>'Task Durations'!CI37</f>
        <v>63</v>
      </c>
      <c r="BF30" s="223">
        <f>'Task Durations'!I37</f>
        <v>24.65</v>
      </c>
      <c r="BG30" s="223">
        <f>'Task Durations'!Z37</f>
        <v>27.980000000000004</v>
      </c>
      <c r="BH30" s="223">
        <f>'Task Durations'!AO37</f>
        <v>40.414999999999999</v>
      </c>
      <c r="BI30" s="223">
        <f>'Task Durations'!BV37</f>
        <v>45.216999999999999</v>
      </c>
      <c r="BJ30" s="223">
        <f>'Task Durations'!CK37</f>
        <v>52.516999999999996</v>
      </c>
      <c r="BK30" s="223">
        <f>'Task Durations'!J37</f>
        <v>57.766666666666666</v>
      </c>
      <c r="BL30" s="223">
        <f>'Task Durations'!Q37</f>
        <v>48.048999999999992</v>
      </c>
      <c r="BM30" s="223">
        <f>'Task Durations'!S37</f>
        <v>19.420999999999999</v>
      </c>
      <c r="BN30" s="223">
        <f>'Task Durations'!T37</f>
        <v>35.667000000000002</v>
      </c>
      <c r="BO30" s="223">
        <f>'Task Durations'!AA37</f>
        <v>15.433</v>
      </c>
      <c r="BP30" s="223">
        <f>'Task Durations'!AC37</f>
        <v>27.739000000000001</v>
      </c>
      <c r="BQ30" s="223">
        <f>'Task Durations'!AD37</f>
        <v>23.023300000000003</v>
      </c>
      <c r="BR30" s="223">
        <f>'Task Durations'!AL37</f>
        <v>52.750999999999998</v>
      </c>
      <c r="BS30" s="223">
        <f>'Task Durations'!AN37</f>
        <v>39.349999999999994</v>
      </c>
      <c r="BT30" s="223">
        <f>'Task Durations'!AP37</f>
        <v>33.766000000000005</v>
      </c>
      <c r="BU30" s="223">
        <f>'Task Durations'!AS37</f>
        <v>59.820500000000003</v>
      </c>
      <c r="BV30" s="223">
        <f>'Task Durations'!AT37</f>
        <v>38.116999999999997</v>
      </c>
      <c r="BW30" s="223">
        <f>'Task Durations'!AV37</f>
        <v>20.515999999999998</v>
      </c>
      <c r="BX30" s="223">
        <f>'Task Durations'!BK37</f>
        <v>13.1</v>
      </c>
      <c r="BY30" s="223">
        <f>'Task Durations'!BN37</f>
        <v>31.0717</v>
      </c>
      <c r="BZ30" s="223">
        <f>'Task Durations'!BZ37</f>
        <v>32.732700000000001</v>
      </c>
      <c r="CA30" s="223">
        <f>'Task Durations'!L37</f>
        <v>29.419</v>
      </c>
      <c r="CB30" s="223">
        <f>'Task Durations'!X37</f>
        <v>32.850300000000004</v>
      </c>
      <c r="CC30" s="223">
        <f>'Task Durations'!AQ37</f>
        <v>22.016399999999997</v>
      </c>
      <c r="CD30" s="223">
        <f>'Task Durations'!BS37</f>
        <v>46.535999999999994</v>
      </c>
      <c r="CE30" s="223">
        <f>'Task Durations'!CJ37</f>
        <v>30.383000000000003</v>
      </c>
      <c r="CF30" s="223">
        <f>'Task Durations'!AW37</f>
        <v>51.100299999999997</v>
      </c>
      <c r="CG30" s="223">
        <f>'Task Durations'!CD37</f>
        <v>39.701999999999998</v>
      </c>
      <c r="CH30" s="223">
        <f>'Task Durations'!CL37</f>
        <v>67.398499999999999</v>
      </c>
      <c r="CI30" s="223">
        <f>'Task Durations'!CM37</f>
        <v>33.482999999999997</v>
      </c>
      <c r="CJ30" s="223">
        <f>'Task Durations'!E37</f>
        <v>38.899000000000008</v>
      </c>
      <c r="CK30" s="223">
        <f>'Task Durations'!M37</f>
        <v>41.783000000000001</v>
      </c>
      <c r="CL30" s="223">
        <f>'Task Durations'!U37</f>
        <v>40.149700000000003</v>
      </c>
      <c r="CM30" s="223">
        <f>'Task Durations'!AH37</f>
        <v>29.700000000000003</v>
      </c>
      <c r="CN30" s="224">
        <f>'Task Durations'!AY37</f>
        <v>26.166</v>
      </c>
    </row>
    <row r="31" spans="1:92" x14ac:dyDescent="0.25">
      <c r="A31" s="345"/>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c r="AJ31" s="9"/>
      <c r="AK31" s="9"/>
      <c r="AL31" s="9"/>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c r="BW31" s="9"/>
      <c r="BX31" s="9"/>
      <c r="BY31" s="9"/>
      <c r="BZ31" s="9"/>
      <c r="CA31" s="9"/>
      <c r="CB31" s="9"/>
      <c r="CC31" s="9"/>
      <c r="CD31" s="9"/>
      <c r="CE31" s="9"/>
      <c r="CF31" s="9"/>
      <c r="CG31" s="9"/>
      <c r="CH31" s="9"/>
      <c r="CI31" s="9"/>
      <c r="CJ31" s="9"/>
      <c r="CK31" s="9"/>
      <c r="CL31" s="9"/>
      <c r="CM31" s="9"/>
    </row>
    <row r="32" spans="1:92" x14ac:dyDescent="0.25">
      <c r="A32" s="345"/>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c r="AJ32" s="9"/>
      <c r="AK32" s="9"/>
      <c r="AL32" s="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c r="BW32" s="9"/>
      <c r="BX32" s="9"/>
      <c r="BY32" s="9"/>
      <c r="BZ32" s="9"/>
      <c r="CA32" s="9"/>
      <c r="CB32" s="9"/>
      <c r="CC32" s="9"/>
      <c r="CD32" s="9"/>
      <c r="CE32" s="9"/>
      <c r="CF32" s="9"/>
      <c r="CG32" s="9"/>
      <c r="CH32" s="9"/>
      <c r="CI32" s="9"/>
      <c r="CJ32" s="9"/>
      <c r="CK32" s="9"/>
      <c r="CL32" s="9"/>
      <c r="CM32" s="9"/>
      <c r="CN32" s="9"/>
    </row>
    <row r="33" spans="1:92" x14ac:dyDescent="0.25">
      <c r="A33" s="345"/>
    </row>
    <row r="34" spans="1:92" ht="15.75" thickBot="1" x14ac:dyDescent="0.3">
      <c r="A34" s="346"/>
      <c r="D34" t="s">
        <v>2</v>
      </c>
      <c r="E34" t="s">
        <v>219</v>
      </c>
      <c r="F34" t="s">
        <v>298</v>
      </c>
      <c r="G34" t="s">
        <v>145</v>
      </c>
      <c r="H34" t="s">
        <v>151</v>
      </c>
      <c r="I34" t="s">
        <v>167</v>
      </c>
      <c r="J34" t="s">
        <v>168</v>
      </c>
      <c r="K34" t="s">
        <v>169</v>
      </c>
      <c r="L34" t="s">
        <v>172</v>
      </c>
      <c r="M34" t="s">
        <v>173</v>
      </c>
      <c r="N34" t="s">
        <v>184</v>
      </c>
      <c r="O34" t="s">
        <v>192</v>
      </c>
      <c r="P34" t="s">
        <v>196</v>
      </c>
      <c r="Q34" t="s">
        <v>197</v>
      </c>
      <c r="R34" t="s">
        <v>198</v>
      </c>
      <c r="S34" t="s">
        <v>199</v>
      </c>
      <c r="T34" t="s">
        <v>200</v>
      </c>
      <c r="U34" t="s">
        <v>204</v>
      </c>
      <c r="V34" t="s">
        <v>205</v>
      </c>
      <c r="W34" t="s">
        <v>207</v>
      </c>
      <c r="X34" t="s">
        <v>216</v>
      </c>
      <c r="Y34" t="s">
        <v>290</v>
      </c>
      <c r="Z34" t="s">
        <v>291</v>
      </c>
      <c r="AA34" t="s">
        <v>292</v>
      </c>
      <c r="AB34" t="s">
        <v>294</v>
      </c>
      <c r="AC34" t="s">
        <v>295</v>
      </c>
      <c r="AD34" t="s">
        <v>296</v>
      </c>
      <c r="AE34" t="s">
        <v>299</v>
      </c>
      <c r="AF34" t="s">
        <v>301</v>
      </c>
      <c r="AG34" t="s">
        <v>67</v>
      </c>
      <c r="AH34" t="s">
        <v>135</v>
      </c>
      <c r="AI34" t="s">
        <v>175</v>
      </c>
      <c r="AJ34" t="s">
        <v>218</v>
      </c>
      <c r="AK34" t="s">
        <v>54</v>
      </c>
      <c r="AL34" t="s">
        <v>57</v>
      </c>
      <c r="AM34" t="s">
        <v>133</v>
      </c>
      <c r="AN34" t="s">
        <v>134</v>
      </c>
      <c r="AO34" t="s">
        <v>180</v>
      </c>
      <c r="AP34" t="s">
        <v>187</v>
      </c>
      <c r="AQ34" t="s">
        <v>190</v>
      </c>
      <c r="AR34" t="s">
        <v>201</v>
      </c>
      <c r="AS34" t="s">
        <v>209</v>
      </c>
      <c r="AT34" t="s">
        <v>66</v>
      </c>
      <c r="AU34" t="s">
        <v>53</v>
      </c>
      <c r="AV34" t="s">
        <v>150</v>
      </c>
      <c r="AW34" t="s">
        <v>153</v>
      </c>
      <c r="AX34" t="s">
        <v>164</v>
      </c>
      <c r="AY34" t="s">
        <v>171</v>
      </c>
      <c r="AZ34" t="s">
        <v>191</v>
      </c>
      <c r="BA34" t="s">
        <v>194</v>
      </c>
      <c r="BB34" t="s">
        <v>195</v>
      </c>
      <c r="BC34" t="s">
        <v>208</v>
      </c>
      <c r="BD34" t="s">
        <v>300</v>
      </c>
      <c r="BE34" t="s">
        <v>302</v>
      </c>
      <c r="BF34" t="s">
        <v>55</v>
      </c>
      <c r="BG34" t="s">
        <v>154</v>
      </c>
      <c r="BH34" t="s">
        <v>177</v>
      </c>
      <c r="BI34" t="s">
        <v>289</v>
      </c>
      <c r="BJ34" t="s">
        <v>304</v>
      </c>
      <c r="BK34" t="s">
        <v>56</v>
      </c>
      <c r="BL34" t="s">
        <v>136</v>
      </c>
      <c r="BM34" t="s">
        <v>147</v>
      </c>
      <c r="BN34" t="s">
        <v>148</v>
      </c>
      <c r="BO34" t="s">
        <v>163</v>
      </c>
      <c r="BP34" t="s">
        <v>165</v>
      </c>
      <c r="BQ34" t="s">
        <v>166</v>
      </c>
      <c r="BR34" t="s">
        <v>174</v>
      </c>
      <c r="BS34" t="s">
        <v>176</v>
      </c>
      <c r="BT34" t="s">
        <v>178</v>
      </c>
      <c r="BU34" t="s">
        <v>182</v>
      </c>
      <c r="BV34" t="s">
        <v>183</v>
      </c>
      <c r="BW34" t="s">
        <v>185</v>
      </c>
      <c r="BX34" t="s">
        <v>202</v>
      </c>
      <c r="BY34" t="s">
        <v>206</v>
      </c>
      <c r="BZ34" t="s">
        <v>293</v>
      </c>
      <c r="CA34" t="s">
        <v>58</v>
      </c>
      <c r="CB34" t="s">
        <v>152</v>
      </c>
      <c r="CC34" t="s">
        <v>179</v>
      </c>
      <c r="CD34" t="s">
        <v>217</v>
      </c>
      <c r="CE34" t="s">
        <v>303</v>
      </c>
      <c r="CF34" t="s">
        <v>186</v>
      </c>
      <c r="CG34" t="s">
        <v>297</v>
      </c>
      <c r="CH34" t="s">
        <v>305</v>
      </c>
      <c r="CI34" t="s">
        <v>306</v>
      </c>
      <c r="CJ34" t="s">
        <v>64</v>
      </c>
      <c r="CK34" t="s">
        <v>59</v>
      </c>
      <c r="CL34" t="s">
        <v>149</v>
      </c>
      <c r="CM34" t="s">
        <v>170</v>
      </c>
      <c r="CN34" t="s">
        <v>189</v>
      </c>
    </row>
    <row r="35" spans="1:92" x14ac:dyDescent="0.25">
      <c r="D35" t="s">
        <v>16</v>
      </c>
      <c r="E35">
        <v>5</v>
      </c>
      <c r="F35">
        <v>5</v>
      </c>
      <c r="G35">
        <v>15</v>
      </c>
      <c r="H35">
        <v>15</v>
      </c>
      <c r="I35">
        <v>15</v>
      </c>
      <c r="J35">
        <v>15</v>
      </c>
      <c r="K35">
        <v>15</v>
      </c>
      <c r="L35">
        <v>15</v>
      </c>
      <c r="M35">
        <v>15</v>
      </c>
      <c r="N35">
        <v>15</v>
      </c>
      <c r="O35">
        <v>15</v>
      </c>
      <c r="P35">
        <v>15</v>
      </c>
      <c r="Q35">
        <v>15</v>
      </c>
      <c r="R35">
        <v>15</v>
      </c>
      <c r="S35">
        <v>15</v>
      </c>
      <c r="T35">
        <v>15</v>
      </c>
      <c r="U35">
        <v>15</v>
      </c>
      <c r="V35">
        <v>15</v>
      </c>
      <c r="W35">
        <v>15</v>
      </c>
      <c r="X35">
        <v>15</v>
      </c>
      <c r="Y35">
        <v>15</v>
      </c>
      <c r="Z35">
        <v>15</v>
      </c>
      <c r="AA35">
        <v>15</v>
      </c>
      <c r="AB35">
        <v>15</v>
      </c>
      <c r="AC35">
        <v>15</v>
      </c>
      <c r="AD35">
        <v>15</v>
      </c>
      <c r="AE35">
        <v>15</v>
      </c>
      <c r="AF35">
        <v>15</v>
      </c>
      <c r="AG35">
        <v>25</v>
      </c>
      <c r="AH35">
        <v>25</v>
      </c>
      <c r="AI35">
        <v>25</v>
      </c>
      <c r="AJ35">
        <v>25</v>
      </c>
      <c r="AK35">
        <v>35</v>
      </c>
      <c r="AL35">
        <v>35</v>
      </c>
      <c r="AM35">
        <v>35</v>
      </c>
      <c r="AN35">
        <v>35</v>
      </c>
      <c r="AO35">
        <v>35</v>
      </c>
      <c r="AP35">
        <v>35</v>
      </c>
      <c r="AQ35">
        <v>35</v>
      </c>
      <c r="AR35">
        <v>35</v>
      </c>
      <c r="AS35">
        <v>35</v>
      </c>
      <c r="AT35">
        <v>40</v>
      </c>
      <c r="AU35">
        <v>40</v>
      </c>
      <c r="AV35">
        <v>40</v>
      </c>
      <c r="AW35">
        <v>40</v>
      </c>
      <c r="AX35">
        <v>40</v>
      </c>
      <c r="AY35">
        <v>40</v>
      </c>
      <c r="AZ35">
        <v>40</v>
      </c>
      <c r="BA35">
        <v>40</v>
      </c>
      <c r="BB35">
        <v>40</v>
      </c>
      <c r="BC35">
        <v>40</v>
      </c>
      <c r="BD35">
        <v>40</v>
      </c>
      <c r="BE35">
        <v>40</v>
      </c>
      <c r="BF35">
        <v>50</v>
      </c>
      <c r="BG35">
        <v>50</v>
      </c>
      <c r="BH35">
        <v>50</v>
      </c>
      <c r="BI35">
        <v>50</v>
      </c>
      <c r="BJ35">
        <v>50</v>
      </c>
      <c r="BK35">
        <v>60</v>
      </c>
      <c r="BL35">
        <v>60</v>
      </c>
      <c r="BM35">
        <v>60</v>
      </c>
      <c r="BN35">
        <v>60</v>
      </c>
      <c r="BO35">
        <v>60</v>
      </c>
      <c r="BP35">
        <v>60</v>
      </c>
      <c r="BQ35">
        <v>60</v>
      </c>
      <c r="BR35">
        <v>60</v>
      </c>
      <c r="BS35">
        <v>60</v>
      </c>
      <c r="BT35">
        <v>60</v>
      </c>
      <c r="BU35">
        <v>60</v>
      </c>
      <c r="BV35">
        <v>60</v>
      </c>
      <c r="BW35">
        <v>60</v>
      </c>
      <c r="BX35">
        <v>60</v>
      </c>
      <c r="BY35">
        <v>60</v>
      </c>
      <c r="BZ35">
        <v>60</v>
      </c>
      <c r="CA35">
        <v>80</v>
      </c>
      <c r="CB35">
        <v>80</v>
      </c>
      <c r="CC35">
        <v>80</v>
      </c>
      <c r="CD35">
        <v>80</v>
      </c>
      <c r="CE35">
        <v>80</v>
      </c>
      <c r="CF35">
        <v>85</v>
      </c>
      <c r="CG35">
        <v>85</v>
      </c>
      <c r="CH35">
        <v>85</v>
      </c>
      <c r="CI35">
        <v>85</v>
      </c>
      <c r="CJ35">
        <v>90</v>
      </c>
      <c r="CK35">
        <v>90</v>
      </c>
      <c r="CL35">
        <v>90</v>
      </c>
      <c r="CM35">
        <v>90</v>
      </c>
      <c r="CN35">
        <v>90</v>
      </c>
    </row>
    <row r="36" spans="1:92" x14ac:dyDescent="0.25">
      <c r="D36" t="s">
        <v>78</v>
      </c>
      <c r="E36">
        <v>18.183</v>
      </c>
      <c r="F36">
        <v>8.5829999999999984</v>
      </c>
      <c r="G36">
        <v>19.249299999999998</v>
      </c>
      <c r="H36">
        <v>14.600000000000001</v>
      </c>
      <c r="I36">
        <v>20.265999999999998</v>
      </c>
      <c r="J36">
        <v>16.150300000000001</v>
      </c>
      <c r="K36">
        <v>28.183299999999999</v>
      </c>
      <c r="L36">
        <v>23.132999999999999</v>
      </c>
      <c r="M36">
        <v>29.082999999999998</v>
      </c>
      <c r="N36">
        <v>22.683</v>
      </c>
      <c r="O36">
        <v>26.967000000000006</v>
      </c>
      <c r="P36">
        <v>26.700299999999999</v>
      </c>
      <c r="Q36">
        <v>18.183</v>
      </c>
      <c r="R36">
        <v>19.497999999999998</v>
      </c>
      <c r="S36">
        <v>18.0337</v>
      </c>
      <c r="T36">
        <v>16.351300000000002</v>
      </c>
      <c r="U36">
        <v>23.386199999999999</v>
      </c>
      <c r="V36">
        <v>9.7840000000000007</v>
      </c>
      <c r="W36">
        <v>29.367000000000001</v>
      </c>
      <c r="X36">
        <v>15.3</v>
      </c>
      <c r="Y36">
        <v>19.883299999999998</v>
      </c>
      <c r="Z36">
        <v>17.183299999999999</v>
      </c>
      <c r="AA36">
        <v>15.767000000000001</v>
      </c>
      <c r="AB36">
        <v>13.616</v>
      </c>
      <c r="AC36">
        <v>33.683</v>
      </c>
      <c r="AD36">
        <v>26.1</v>
      </c>
      <c r="AE36">
        <v>19.566299999999998</v>
      </c>
      <c r="AF36">
        <v>44.132999999999996</v>
      </c>
      <c r="AG36">
        <v>21.25</v>
      </c>
      <c r="AH36">
        <v>12.533999999999999</v>
      </c>
      <c r="AI36">
        <v>12.149999999999999</v>
      </c>
      <c r="AJ36">
        <v>12.067</v>
      </c>
      <c r="AK36">
        <v>17.683</v>
      </c>
      <c r="AL36">
        <v>29.099999999999998</v>
      </c>
      <c r="AM36">
        <v>27.867000000000001</v>
      </c>
      <c r="AN36">
        <v>27.299999999999997</v>
      </c>
      <c r="AO36">
        <v>11.967000000000002</v>
      </c>
      <c r="AP36">
        <v>18</v>
      </c>
      <c r="AQ36">
        <v>15.481999999999999</v>
      </c>
      <c r="AR36">
        <v>26.85</v>
      </c>
      <c r="AS36">
        <v>15.649000000000001</v>
      </c>
      <c r="AT36">
        <v>37.800000000000004</v>
      </c>
      <c r="AU36">
        <v>22.699999999999996</v>
      </c>
      <c r="AV36">
        <v>35.849999999999994</v>
      </c>
      <c r="AW36">
        <v>18.533000000000001</v>
      </c>
      <c r="AX36">
        <v>16.967300000000002</v>
      </c>
      <c r="AY36">
        <v>21.300000000000004</v>
      </c>
      <c r="AZ36">
        <v>19.165699999999998</v>
      </c>
      <c r="BA36">
        <v>19.5167</v>
      </c>
      <c r="BB36">
        <v>20.049999999999997</v>
      </c>
      <c r="BC36">
        <v>33.742000000000004</v>
      </c>
      <c r="BD36">
        <v>28.067</v>
      </c>
      <c r="BE36">
        <v>22.5</v>
      </c>
      <c r="BF36">
        <v>21.816666666666666</v>
      </c>
      <c r="BG36">
        <v>16.400000000000002</v>
      </c>
      <c r="BH36">
        <v>30.716300000000004</v>
      </c>
      <c r="BI36">
        <v>24.083300000000008</v>
      </c>
      <c r="BJ36">
        <v>23.483000000000004</v>
      </c>
      <c r="BK36">
        <v>17.95</v>
      </c>
      <c r="BL36">
        <v>28.850999999999999</v>
      </c>
      <c r="BM36">
        <v>14.064499999999999</v>
      </c>
      <c r="BN36">
        <v>26.050999999999998</v>
      </c>
      <c r="BO36">
        <v>31.1</v>
      </c>
      <c r="BP36">
        <v>13.353499999999999</v>
      </c>
      <c r="BQ36">
        <v>13.178000000000001</v>
      </c>
      <c r="BR36">
        <v>27.716999999999999</v>
      </c>
      <c r="BS36">
        <v>31.971999999999998</v>
      </c>
      <c r="BT36">
        <v>27.817</v>
      </c>
      <c r="BU36">
        <v>19.408999999999999</v>
      </c>
      <c r="BV36">
        <v>16.032999999999998</v>
      </c>
      <c r="BW36">
        <v>34.224299999999999</v>
      </c>
      <c r="BX36">
        <v>12.082999999999998</v>
      </c>
      <c r="BY36">
        <v>42.033999999999999</v>
      </c>
      <c r="BZ36">
        <v>21.083000000000002</v>
      </c>
      <c r="CA36">
        <v>18.364799999999999</v>
      </c>
      <c r="CB36">
        <v>21.95</v>
      </c>
      <c r="CC36">
        <v>24.167000000000002</v>
      </c>
      <c r="CD36">
        <v>7.3056999999999981</v>
      </c>
      <c r="CE36">
        <v>21.25</v>
      </c>
      <c r="CF36">
        <v>30.300999999999998</v>
      </c>
      <c r="CG36">
        <v>10.867000000000001</v>
      </c>
      <c r="CH36">
        <v>14.968999999999998</v>
      </c>
      <c r="CI36">
        <v>23.798999999999999</v>
      </c>
      <c r="CJ36">
        <v>17.266999999999996</v>
      </c>
      <c r="CK36">
        <v>38.783000000000001</v>
      </c>
      <c r="CL36">
        <v>27.166999999999998</v>
      </c>
      <c r="CM36">
        <v>20.2163</v>
      </c>
      <c r="CN36">
        <v>17.233000000000001</v>
      </c>
    </row>
    <row r="37" spans="1:92" x14ac:dyDescent="0.25">
      <c r="D37" t="s">
        <v>79</v>
      </c>
      <c r="E37">
        <v>64.816300000000012</v>
      </c>
      <c r="F37">
        <v>8.85</v>
      </c>
      <c r="G37">
        <v>15.75</v>
      </c>
      <c r="H37">
        <v>31.766300000000001</v>
      </c>
      <c r="I37">
        <v>43.187000000000005</v>
      </c>
      <c r="J37">
        <v>41.3504</v>
      </c>
      <c r="K37">
        <v>28.849000000000004</v>
      </c>
      <c r="L37">
        <v>41.670999999999999</v>
      </c>
      <c r="M37">
        <v>35.482999999999997</v>
      </c>
      <c r="N37">
        <v>32.9</v>
      </c>
      <c r="O37">
        <v>20.882999999999999</v>
      </c>
      <c r="P37">
        <v>29.432299999999998</v>
      </c>
      <c r="Q37">
        <v>29.467000000000002</v>
      </c>
      <c r="R37">
        <v>34.645199999999996</v>
      </c>
      <c r="S37">
        <v>36.266299999999994</v>
      </c>
      <c r="T37">
        <v>19.541999999999998</v>
      </c>
      <c r="U37">
        <v>37.509300000000003</v>
      </c>
      <c r="V37">
        <v>19.549299999999999</v>
      </c>
      <c r="W37">
        <v>28.6493</v>
      </c>
      <c r="X37">
        <v>33.483700000000006</v>
      </c>
      <c r="Y37">
        <v>46.216999999999992</v>
      </c>
      <c r="Z37">
        <v>15.716700000000001</v>
      </c>
      <c r="AA37">
        <v>8.3333000000000013</v>
      </c>
      <c r="AB37">
        <v>6.2006999999999994</v>
      </c>
      <c r="AC37">
        <v>48.466999999999999</v>
      </c>
      <c r="AD37">
        <v>39.884000000000007</v>
      </c>
      <c r="AE37">
        <v>18.533000000000001</v>
      </c>
      <c r="AF37">
        <v>27.3</v>
      </c>
      <c r="AG37">
        <v>40.016666666666666</v>
      </c>
      <c r="AH37">
        <v>42.265999999999998</v>
      </c>
      <c r="AI37">
        <v>36.750000000000007</v>
      </c>
      <c r="AJ37">
        <v>46.982999999999997</v>
      </c>
      <c r="AK37">
        <v>25.465999999999998</v>
      </c>
      <c r="AL37">
        <v>44.332999999999998</v>
      </c>
      <c r="AM37">
        <v>36.5837</v>
      </c>
      <c r="AN37">
        <v>24.417000000000002</v>
      </c>
      <c r="AO37">
        <v>30.051000000000002</v>
      </c>
      <c r="AP37">
        <v>61.084000000000003</v>
      </c>
      <c r="AQ37">
        <v>46.199700000000007</v>
      </c>
      <c r="AR37">
        <v>25.966999999999999</v>
      </c>
      <c r="AS37">
        <v>21.351000000000003</v>
      </c>
      <c r="AT37">
        <v>32.733333333333334</v>
      </c>
      <c r="AU37">
        <v>26.717999999999993</v>
      </c>
      <c r="AV37">
        <v>62.499000000000009</v>
      </c>
      <c r="AW37">
        <v>51.498699999999999</v>
      </c>
      <c r="AX37">
        <v>53.549700000000001</v>
      </c>
      <c r="AY37">
        <v>43.500700000000002</v>
      </c>
      <c r="AZ37">
        <v>57.5336</v>
      </c>
      <c r="BA37">
        <v>42.416000000000004</v>
      </c>
      <c r="BB37">
        <v>41.515999999999998</v>
      </c>
      <c r="BC37">
        <v>60.104999999999997</v>
      </c>
      <c r="BD37">
        <v>48.633299999999998</v>
      </c>
      <c r="BE37">
        <v>63</v>
      </c>
      <c r="BF37">
        <v>24.65</v>
      </c>
      <c r="BG37">
        <v>27.980000000000004</v>
      </c>
      <c r="BH37">
        <v>40.414999999999999</v>
      </c>
      <c r="BI37">
        <v>45.216999999999999</v>
      </c>
      <c r="BJ37">
        <v>52.516999999999996</v>
      </c>
      <c r="BK37">
        <v>57.766666666666666</v>
      </c>
      <c r="BL37">
        <v>48.048999999999992</v>
      </c>
      <c r="BM37">
        <v>19.420999999999999</v>
      </c>
      <c r="BN37">
        <v>35.667000000000002</v>
      </c>
      <c r="BO37">
        <v>15.433</v>
      </c>
      <c r="BP37">
        <v>27.739000000000001</v>
      </c>
      <c r="BQ37">
        <v>23.023300000000003</v>
      </c>
      <c r="BR37">
        <v>52.750999999999998</v>
      </c>
      <c r="BS37">
        <v>39.349999999999994</v>
      </c>
      <c r="BT37">
        <v>33.766000000000005</v>
      </c>
      <c r="BU37">
        <v>59.820500000000003</v>
      </c>
      <c r="BV37">
        <v>38.116999999999997</v>
      </c>
      <c r="BW37">
        <v>20.515999999999998</v>
      </c>
      <c r="BX37">
        <v>13.1</v>
      </c>
      <c r="BY37">
        <v>31.0717</v>
      </c>
      <c r="BZ37">
        <v>32.732700000000001</v>
      </c>
      <c r="CA37">
        <v>29.419</v>
      </c>
      <c r="CB37">
        <v>32.850300000000004</v>
      </c>
      <c r="CC37">
        <v>22.016399999999997</v>
      </c>
      <c r="CD37">
        <v>46.535999999999994</v>
      </c>
      <c r="CE37">
        <v>30.383000000000003</v>
      </c>
      <c r="CF37">
        <v>51.100299999999997</v>
      </c>
      <c r="CG37">
        <v>39.701999999999998</v>
      </c>
      <c r="CH37">
        <v>67.398499999999999</v>
      </c>
      <c r="CI37">
        <v>33.482999999999997</v>
      </c>
      <c r="CJ37">
        <v>38.899000000000008</v>
      </c>
      <c r="CK37">
        <v>41.783000000000001</v>
      </c>
      <c r="CL37">
        <v>40.149700000000003</v>
      </c>
      <c r="CM37">
        <v>29.700000000000003</v>
      </c>
      <c r="CN37">
        <v>26.166</v>
      </c>
    </row>
    <row r="41" spans="1:92" ht="15.75" thickBot="1" x14ac:dyDescent="0.3"/>
    <row r="42" spans="1:92" ht="15.75" thickBot="1" x14ac:dyDescent="0.3">
      <c r="C42" s="413" t="s">
        <v>78</v>
      </c>
      <c r="D42" s="414"/>
      <c r="E42" s="414"/>
      <c r="F42" s="414"/>
      <c r="G42" s="414"/>
      <c r="H42" s="414"/>
      <c r="I42" s="414"/>
      <c r="J42" s="414"/>
      <c r="K42" s="414"/>
      <c r="L42" s="414"/>
      <c r="M42" s="414"/>
      <c r="N42" s="415"/>
      <c r="Q42" s="413" t="s">
        <v>79</v>
      </c>
      <c r="R42" s="414"/>
      <c r="S42" s="414"/>
      <c r="T42" s="414"/>
      <c r="U42" s="414"/>
      <c r="V42" s="414"/>
      <c r="W42" s="414"/>
      <c r="X42" s="414"/>
      <c r="Y42" s="414"/>
      <c r="Z42" s="414"/>
      <c r="AA42" s="414"/>
      <c r="AB42" s="415"/>
    </row>
    <row r="43" spans="1:92" ht="15.75" thickBot="1" x14ac:dyDescent="0.3">
      <c r="C43" s="127" t="s">
        <v>99</v>
      </c>
      <c r="D43" s="270" t="s">
        <v>16</v>
      </c>
      <c r="E43" s="271">
        <v>5</v>
      </c>
      <c r="F43" s="272">
        <v>15</v>
      </c>
      <c r="G43" s="272">
        <v>25</v>
      </c>
      <c r="H43" s="272">
        <v>35</v>
      </c>
      <c r="I43" s="272">
        <v>40</v>
      </c>
      <c r="J43" s="272">
        <v>50</v>
      </c>
      <c r="K43" s="272">
        <v>60</v>
      </c>
      <c r="L43" s="272">
        <v>80</v>
      </c>
      <c r="M43" s="272">
        <v>85</v>
      </c>
      <c r="N43" s="273">
        <v>90</v>
      </c>
      <c r="Q43" s="265" t="s">
        <v>99</v>
      </c>
      <c r="R43" s="248" t="s">
        <v>16</v>
      </c>
      <c r="S43" s="266">
        <v>5</v>
      </c>
      <c r="T43" s="267">
        <v>15</v>
      </c>
      <c r="U43" s="267">
        <v>25</v>
      </c>
      <c r="V43" s="267">
        <v>35</v>
      </c>
      <c r="W43" s="267">
        <v>40</v>
      </c>
      <c r="X43" s="267">
        <v>50</v>
      </c>
      <c r="Y43" s="267">
        <v>60</v>
      </c>
      <c r="Z43" s="267">
        <v>80</v>
      </c>
      <c r="AA43" s="267">
        <v>85</v>
      </c>
      <c r="AB43" s="268">
        <v>90</v>
      </c>
    </row>
    <row r="44" spans="1:92" x14ac:dyDescent="0.25">
      <c r="C44" s="44" t="s">
        <v>219</v>
      </c>
      <c r="D44" s="21">
        <v>5</v>
      </c>
      <c r="E44" s="21">
        <v>18.183</v>
      </c>
      <c r="F44" s="21"/>
      <c r="G44" s="21"/>
      <c r="H44" s="21"/>
      <c r="I44" s="21"/>
      <c r="J44" s="21"/>
      <c r="K44" s="21"/>
      <c r="L44" s="21"/>
      <c r="M44" s="21"/>
      <c r="N44" s="45"/>
      <c r="Q44" s="44" t="s">
        <v>219</v>
      </c>
      <c r="R44" s="21">
        <v>5</v>
      </c>
      <c r="S44" s="21">
        <v>64.816300000000012</v>
      </c>
      <c r="T44" s="21"/>
      <c r="U44" s="21"/>
      <c r="V44" s="21"/>
      <c r="W44" s="21"/>
      <c r="X44" s="21"/>
      <c r="Y44" s="21"/>
      <c r="Z44" s="21"/>
      <c r="AA44" s="21"/>
      <c r="AB44" s="45"/>
    </row>
    <row r="45" spans="1:92" x14ac:dyDescent="0.25">
      <c r="C45" s="44" t="s">
        <v>298</v>
      </c>
      <c r="D45" s="21">
        <v>5</v>
      </c>
      <c r="E45" s="21">
        <v>8.5829999999999984</v>
      </c>
      <c r="F45" s="21"/>
      <c r="G45" s="21"/>
      <c r="H45" s="21"/>
      <c r="I45" s="21"/>
      <c r="J45" s="21"/>
      <c r="K45" s="21"/>
      <c r="L45" s="21"/>
      <c r="M45" s="21"/>
      <c r="N45" s="45"/>
      <c r="Q45" s="44" t="s">
        <v>298</v>
      </c>
      <c r="R45" s="21">
        <v>5</v>
      </c>
      <c r="S45" s="21">
        <v>8.85</v>
      </c>
      <c r="T45" s="21"/>
      <c r="U45" s="21"/>
      <c r="V45" s="21"/>
      <c r="W45" s="21"/>
      <c r="X45" s="21"/>
      <c r="Y45" s="21"/>
      <c r="Z45" s="21"/>
      <c r="AA45" s="21"/>
      <c r="AB45" s="45"/>
    </row>
    <row r="46" spans="1:92" x14ac:dyDescent="0.25">
      <c r="C46" s="44" t="s">
        <v>145</v>
      </c>
      <c r="D46" s="21">
        <v>15</v>
      </c>
      <c r="E46" s="21"/>
      <c r="F46" s="21">
        <v>19.249299999999998</v>
      </c>
      <c r="G46" s="21"/>
      <c r="H46" s="21"/>
      <c r="I46" s="21"/>
      <c r="J46" s="21"/>
      <c r="K46" s="21"/>
      <c r="L46" s="21"/>
      <c r="M46" s="21"/>
      <c r="N46" s="45"/>
      <c r="Q46" s="44" t="s">
        <v>145</v>
      </c>
      <c r="R46" s="21">
        <v>15</v>
      </c>
      <c r="S46" s="21"/>
      <c r="T46" s="21">
        <v>15.75</v>
      </c>
      <c r="U46" s="21"/>
      <c r="V46" s="21"/>
      <c r="W46" s="21"/>
      <c r="X46" s="21"/>
      <c r="Y46" s="21"/>
      <c r="Z46" s="21"/>
      <c r="AA46" s="21"/>
      <c r="AB46" s="45"/>
    </row>
    <row r="47" spans="1:92" x14ac:dyDescent="0.25">
      <c r="C47" s="44" t="s">
        <v>151</v>
      </c>
      <c r="D47" s="21">
        <v>15</v>
      </c>
      <c r="E47" s="21"/>
      <c r="F47" s="21">
        <v>14.600000000000001</v>
      </c>
      <c r="G47" s="21"/>
      <c r="H47" s="21"/>
      <c r="I47" s="21"/>
      <c r="J47" s="21"/>
      <c r="K47" s="21"/>
      <c r="L47" s="21"/>
      <c r="M47" s="21"/>
      <c r="N47" s="45"/>
      <c r="Q47" s="44" t="s">
        <v>151</v>
      </c>
      <c r="R47" s="21">
        <v>15</v>
      </c>
      <c r="S47" s="21"/>
      <c r="T47" s="21">
        <v>31.766300000000001</v>
      </c>
      <c r="U47" s="21"/>
      <c r="V47" s="21"/>
      <c r="W47" s="21"/>
      <c r="X47" s="21"/>
      <c r="Y47" s="21"/>
      <c r="Z47" s="21"/>
      <c r="AA47" s="21"/>
      <c r="AB47" s="45"/>
    </row>
    <row r="48" spans="1:92" x14ac:dyDescent="0.25">
      <c r="C48" s="44" t="s">
        <v>167</v>
      </c>
      <c r="D48" s="21">
        <v>15</v>
      </c>
      <c r="E48" s="21"/>
      <c r="F48" s="21">
        <v>20.265999999999998</v>
      </c>
      <c r="G48" s="21"/>
      <c r="H48" s="21"/>
      <c r="I48" s="21"/>
      <c r="J48" s="21"/>
      <c r="K48" s="21"/>
      <c r="L48" s="21"/>
      <c r="M48" s="21"/>
      <c r="N48" s="45"/>
      <c r="Q48" s="44" t="s">
        <v>167</v>
      </c>
      <c r="R48" s="21">
        <v>15</v>
      </c>
      <c r="S48" s="21"/>
      <c r="T48" s="21">
        <v>43.187000000000005</v>
      </c>
      <c r="U48" s="21"/>
      <c r="V48" s="21"/>
      <c r="W48" s="21"/>
      <c r="X48" s="21"/>
      <c r="Y48" s="21"/>
      <c r="Z48" s="21"/>
      <c r="AA48" s="21"/>
      <c r="AB48" s="45"/>
    </row>
    <row r="49" spans="3:28" x14ac:dyDescent="0.25">
      <c r="C49" s="44" t="s">
        <v>168</v>
      </c>
      <c r="D49" s="21">
        <v>15</v>
      </c>
      <c r="E49" s="21"/>
      <c r="F49" s="21">
        <v>16.150300000000001</v>
      </c>
      <c r="G49" s="21"/>
      <c r="H49" s="21"/>
      <c r="I49" s="21"/>
      <c r="J49" s="21"/>
      <c r="K49" s="21"/>
      <c r="L49" s="21"/>
      <c r="M49" s="21"/>
      <c r="N49" s="45"/>
      <c r="Q49" s="44" t="s">
        <v>168</v>
      </c>
      <c r="R49" s="21">
        <v>15</v>
      </c>
      <c r="S49" s="21"/>
      <c r="T49" s="21">
        <v>41.3504</v>
      </c>
      <c r="U49" s="21"/>
      <c r="V49" s="21"/>
      <c r="W49" s="21"/>
      <c r="X49" s="21"/>
      <c r="Y49" s="21"/>
      <c r="Z49" s="21"/>
      <c r="AA49" s="21"/>
      <c r="AB49" s="45"/>
    </row>
    <row r="50" spans="3:28" x14ac:dyDescent="0.25">
      <c r="C50" s="44" t="s">
        <v>169</v>
      </c>
      <c r="D50" s="21">
        <v>15</v>
      </c>
      <c r="E50" s="21"/>
      <c r="F50" s="21">
        <v>28.183299999999999</v>
      </c>
      <c r="G50" s="21"/>
      <c r="H50" s="21"/>
      <c r="I50" s="21"/>
      <c r="J50" s="21"/>
      <c r="K50" s="21"/>
      <c r="L50" s="21"/>
      <c r="M50" s="21"/>
      <c r="N50" s="45"/>
      <c r="Q50" s="44" t="s">
        <v>169</v>
      </c>
      <c r="R50" s="21">
        <v>15</v>
      </c>
      <c r="S50" s="21"/>
      <c r="T50" s="21">
        <v>28.849000000000004</v>
      </c>
      <c r="U50" s="21"/>
      <c r="V50" s="21"/>
      <c r="W50" s="21"/>
      <c r="X50" s="21"/>
      <c r="Y50" s="21"/>
      <c r="Z50" s="21"/>
      <c r="AA50" s="21"/>
      <c r="AB50" s="45"/>
    </row>
    <row r="51" spans="3:28" x14ac:dyDescent="0.25">
      <c r="C51" s="44" t="s">
        <v>172</v>
      </c>
      <c r="D51" s="21">
        <v>15</v>
      </c>
      <c r="E51" s="21"/>
      <c r="F51" s="21">
        <v>23.132999999999999</v>
      </c>
      <c r="G51" s="21"/>
      <c r="H51" s="21"/>
      <c r="I51" s="21"/>
      <c r="J51" s="21"/>
      <c r="K51" s="21"/>
      <c r="L51" s="21"/>
      <c r="M51" s="21"/>
      <c r="N51" s="45"/>
      <c r="Q51" s="44" t="s">
        <v>172</v>
      </c>
      <c r="R51" s="21">
        <v>15</v>
      </c>
      <c r="S51" s="21"/>
      <c r="T51" s="21">
        <v>41.670999999999999</v>
      </c>
      <c r="U51" s="21"/>
      <c r="V51" s="21"/>
      <c r="W51" s="21"/>
      <c r="X51" s="21"/>
      <c r="Y51" s="21"/>
      <c r="Z51" s="21"/>
      <c r="AA51" s="21"/>
      <c r="AB51" s="45"/>
    </row>
    <row r="52" spans="3:28" x14ac:dyDescent="0.25">
      <c r="C52" s="44" t="s">
        <v>173</v>
      </c>
      <c r="D52" s="21">
        <v>15</v>
      </c>
      <c r="E52" s="21"/>
      <c r="F52" s="21">
        <v>29.082999999999998</v>
      </c>
      <c r="G52" s="21"/>
      <c r="H52" s="21"/>
      <c r="I52" s="21"/>
      <c r="J52" s="21"/>
      <c r="K52" s="21"/>
      <c r="L52" s="21"/>
      <c r="M52" s="21"/>
      <c r="N52" s="45"/>
      <c r="Q52" s="44" t="s">
        <v>173</v>
      </c>
      <c r="R52" s="21">
        <v>15</v>
      </c>
      <c r="S52" s="21"/>
      <c r="T52" s="21">
        <v>35.482999999999997</v>
      </c>
      <c r="U52" s="21"/>
      <c r="V52" s="21"/>
      <c r="W52" s="21"/>
      <c r="X52" s="21"/>
      <c r="Y52" s="21"/>
      <c r="Z52" s="21"/>
      <c r="AA52" s="21"/>
      <c r="AB52" s="45"/>
    </row>
    <row r="53" spans="3:28" x14ac:dyDescent="0.25">
      <c r="C53" s="44" t="s">
        <v>184</v>
      </c>
      <c r="D53" s="21">
        <v>15</v>
      </c>
      <c r="E53" s="21"/>
      <c r="F53" s="21">
        <v>22.683</v>
      </c>
      <c r="G53" s="21"/>
      <c r="H53" s="21"/>
      <c r="I53" s="21"/>
      <c r="J53" s="21"/>
      <c r="K53" s="21"/>
      <c r="L53" s="21"/>
      <c r="M53" s="21"/>
      <c r="N53" s="45"/>
      <c r="Q53" s="44" t="s">
        <v>184</v>
      </c>
      <c r="R53" s="21">
        <v>15</v>
      </c>
      <c r="S53" s="21"/>
      <c r="T53" s="21">
        <v>32.9</v>
      </c>
      <c r="U53" s="21"/>
      <c r="V53" s="21"/>
      <c r="W53" s="21"/>
      <c r="X53" s="21"/>
      <c r="Y53" s="21"/>
      <c r="Z53" s="21"/>
      <c r="AA53" s="21"/>
      <c r="AB53" s="45"/>
    </row>
    <row r="54" spans="3:28" x14ac:dyDescent="0.25">
      <c r="C54" s="44" t="s">
        <v>192</v>
      </c>
      <c r="D54" s="21">
        <v>15</v>
      </c>
      <c r="E54" s="21"/>
      <c r="F54" s="21">
        <v>26.967000000000006</v>
      </c>
      <c r="G54" s="21"/>
      <c r="H54" s="21"/>
      <c r="I54" s="21"/>
      <c r="J54" s="21"/>
      <c r="K54" s="21"/>
      <c r="L54" s="21"/>
      <c r="M54" s="21"/>
      <c r="N54" s="45"/>
      <c r="Q54" s="44" t="s">
        <v>192</v>
      </c>
      <c r="R54" s="21">
        <v>15</v>
      </c>
      <c r="S54" s="21"/>
      <c r="T54" s="21">
        <v>20.882999999999999</v>
      </c>
      <c r="U54" s="21"/>
      <c r="V54" s="21"/>
      <c r="W54" s="21"/>
      <c r="X54" s="21"/>
      <c r="Y54" s="21"/>
      <c r="Z54" s="21"/>
      <c r="AA54" s="21"/>
      <c r="AB54" s="45"/>
    </row>
    <row r="55" spans="3:28" x14ac:dyDescent="0.25">
      <c r="C55" s="44" t="s">
        <v>196</v>
      </c>
      <c r="D55" s="21">
        <v>15</v>
      </c>
      <c r="E55" s="21"/>
      <c r="F55" s="21">
        <v>26.700299999999999</v>
      </c>
      <c r="G55" s="21"/>
      <c r="H55" s="21"/>
      <c r="I55" s="21"/>
      <c r="J55" s="21"/>
      <c r="K55" s="21"/>
      <c r="L55" s="21"/>
      <c r="M55" s="21"/>
      <c r="N55" s="45"/>
      <c r="Q55" s="44" t="s">
        <v>196</v>
      </c>
      <c r="R55" s="21">
        <v>15</v>
      </c>
      <c r="S55" s="21"/>
      <c r="T55" s="21">
        <v>29.432299999999998</v>
      </c>
      <c r="U55" s="21"/>
      <c r="V55" s="21"/>
      <c r="W55" s="21"/>
      <c r="X55" s="21"/>
      <c r="Y55" s="21"/>
      <c r="Z55" s="21"/>
      <c r="AA55" s="21"/>
      <c r="AB55" s="45"/>
    </row>
    <row r="56" spans="3:28" x14ac:dyDescent="0.25">
      <c r="C56" s="44" t="s">
        <v>197</v>
      </c>
      <c r="D56" s="21">
        <v>15</v>
      </c>
      <c r="E56" s="21"/>
      <c r="F56" s="21">
        <v>18.183</v>
      </c>
      <c r="G56" s="21"/>
      <c r="H56" s="21"/>
      <c r="I56" s="21"/>
      <c r="J56" s="21"/>
      <c r="K56" s="21"/>
      <c r="L56" s="21"/>
      <c r="M56" s="21"/>
      <c r="N56" s="45"/>
      <c r="Q56" s="44" t="s">
        <v>197</v>
      </c>
      <c r="R56" s="21">
        <v>15</v>
      </c>
      <c r="S56" s="21"/>
      <c r="T56" s="21">
        <v>29.467000000000002</v>
      </c>
      <c r="U56" s="21"/>
      <c r="V56" s="21"/>
      <c r="W56" s="21"/>
      <c r="X56" s="21"/>
      <c r="Y56" s="21"/>
      <c r="Z56" s="21"/>
      <c r="AA56" s="21"/>
      <c r="AB56" s="45"/>
    </row>
    <row r="57" spans="3:28" x14ac:dyDescent="0.25">
      <c r="C57" s="44" t="s">
        <v>198</v>
      </c>
      <c r="D57" s="21">
        <v>15</v>
      </c>
      <c r="E57" s="21"/>
      <c r="F57" s="21">
        <v>19.497999999999998</v>
      </c>
      <c r="G57" s="21"/>
      <c r="H57" s="21"/>
      <c r="I57" s="21"/>
      <c r="J57" s="21"/>
      <c r="K57" s="21"/>
      <c r="L57" s="21"/>
      <c r="M57" s="21"/>
      <c r="N57" s="45"/>
      <c r="Q57" s="44" t="s">
        <v>198</v>
      </c>
      <c r="R57" s="21">
        <v>15</v>
      </c>
      <c r="S57" s="21"/>
      <c r="T57" s="21">
        <v>34.645199999999996</v>
      </c>
      <c r="U57" s="21"/>
      <c r="V57" s="21"/>
      <c r="W57" s="21"/>
      <c r="X57" s="21"/>
      <c r="Y57" s="21"/>
      <c r="Z57" s="21"/>
      <c r="AA57" s="21"/>
      <c r="AB57" s="45"/>
    </row>
    <row r="58" spans="3:28" x14ac:dyDescent="0.25">
      <c r="C58" s="44" t="s">
        <v>199</v>
      </c>
      <c r="D58" s="21">
        <v>15</v>
      </c>
      <c r="E58" s="21"/>
      <c r="F58" s="21">
        <v>18.0337</v>
      </c>
      <c r="G58" s="21"/>
      <c r="H58" s="21"/>
      <c r="I58" s="21"/>
      <c r="J58" s="21"/>
      <c r="K58" s="21"/>
      <c r="L58" s="21"/>
      <c r="M58" s="21"/>
      <c r="N58" s="45"/>
      <c r="Q58" s="44" t="s">
        <v>199</v>
      </c>
      <c r="R58" s="21">
        <v>15</v>
      </c>
      <c r="S58" s="21"/>
      <c r="T58" s="21">
        <v>36.266299999999994</v>
      </c>
      <c r="U58" s="21"/>
      <c r="V58" s="21"/>
      <c r="W58" s="21"/>
      <c r="X58" s="21"/>
      <c r="Y58" s="21"/>
      <c r="Z58" s="21"/>
      <c r="AA58" s="21"/>
      <c r="AB58" s="45"/>
    </row>
    <row r="59" spans="3:28" x14ac:dyDescent="0.25">
      <c r="C59" s="44" t="s">
        <v>200</v>
      </c>
      <c r="D59" s="21">
        <v>15</v>
      </c>
      <c r="E59" s="21"/>
      <c r="F59" s="21">
        <v>16.351300000000002</v>
      </c>
      <c r="G59" s="21"/>
      <c r="H59" s="21"/>
      <c r="I59" s="21"/>
      <c r="J59" s="21"/>
      <c r="K59" s="21"/>
      <c r="L59" s="21"/>
      <c r="M59" s="21"/>
      <c r="N59" s="45"/>
      <c r="Q59" s="44" t="s">
        <v>200</v>
      </c>
      <c r="R59" s="21">
        <v>15</v>
      </c>
      <c r="S59" s="21"/>
      <c r="T59" s="21">
        <v>19.541999999999998</v>
      </c>
      <c r="U59" s="21"/>
      <c r="V59" s="21"/>
      <c r="W59" s="21"/>
      <c r="X59" s="21"/>
      <c r="Y59" s="21"/>
      <c r="Z59" s="21"/>
      <c r="AA59" s="21"/>
      <c r="AB59" s="45"/>
    </row>
    <row r="60" spans="3:28" x14ac:dyDescent="0.25">
      <c r="C60" s="44" t="s">
        <v>204</v>
      </c>
      <c r="D60" s="21">
        <v>15</v>
      </c>
      <c r="E60" s="21"/>
      <c r="F60" s="21">
        <v>23.386199999999999</v>
      </c>
      <c r="G60" s="21"/>
      <c r="H60" s="21"/>
      <c r="I60" s="21"/>
      <c r="J60" s="21"/>
      <c r="K60" s="21"/>
      <c r="L60" s="21"/>
      <c r="M60" s="21"/>
      <c r="N60" s="45"/>
      <c r="Q60" s="44" t="s">
        <v>204</v>
      </c>
      <c r="R60" s="21">
        <v>15</v>
      </c>
      <c r="S60" s="21"/>
      <c r="T60" s="21">
        <v>37.509300000000003</v>
      </c>
      <c r="U60" s="21"/>
      <c r="V60" s="21"/>
      <c r="W60" s="21"/>
      <c r="X60" s="21"/>
      <c r="Y60" s="21"/>
      <c r="Z60" s="21"/>
      <c r="AA60" s="21"/>
      <c r="AB60" s="45"/>
    </row>
    <row r="61" spans="3:28" x14ac:dyDescent="0.25">
      <c r="C61" s="44" t="s">
        <v>205</v>
      </c>
      <c r="D61" s="21">
        <v>15</v>
      </c>
      <c r="E61" s="21"/>
      <c r="F61" s="21">
        <v>9.7840000000000007</v>
      </c>
      <c r="G61" s="21"/>
      <c r="H61" s="21"/>
      <c r="I61" s="21"/>
      <c r="J61" s="21"/>
      <c r="K61" s="21"/>
      <c r="L61" s="21"/>
      <c r="M61" s="21"/>
      <c r="N61" s="45"/>
      <c r="Q61" s="44" t="s">
        <v>205</v>
      </c>
      <c r="R61" s="21">
        <v>15</v>
      </c>
      <c r="S61" s="21"/>
      <c r="T61" s="21">
        <v>19.549299999999999</v>
      </c>
      <c r="U61" s="21"/>
      <c r="V61" s="21"/>
      <c r="W61" s="21"/>
      <c r="X61" s="21"/>
      <c r="Y61" s="21"/>
      <c r="Z61" s="21"/>
      <c r="AA61" s="21"/>
      <c r="AB61" s="45"/>
    </row>
    <row r="62" spans="3:28" x14ac:dyDescent="0.25">
      <c r="C62" s="44" t="s">
        <v>207</v>
      </c>
      <c r="D62" s="21">
        <v>15</v>
      </c>
      <c r="E62" s="21"/>
      <c r="F62" s="21">
        <v>29.367000000000001</v>
      </c>
      <c r="G62" s="21"/>
      <c r="H62" s="21"/>
      <c r="I62" s="21"/>
      <c r="J62" s="21"/>
      <c r="K62" s="21"/>
      <c r="L62" s="21"/>
      <c r="M62" s="21"/>
      <c r="N62" s="45"/>
      <c r="Q62" s="44" t="s">
        <v>207</v>
      </c>
      <c r="R62" s="21">
        <v>15</v>
      </c>
      <c r="S62" s="21"/>
      <c r="T62" s="21">
        <v>28.6493</v>
      </c>
      <c r="U62" s="21"/>
      <c r="V62" s="21"/>
      <c r="W62" s="21"/>
      <c r="X62" s="21"/>
      <c r="Y62" s="21"/>
      <c r="Z62" s="21"/>
      <c r="AA62" s="21"/>
      <c r="AB62" s="45"/>
    </row>
    <row r="63" spans="3:28" x14ac:dyDescent="0.25">
      <c r="C63" s="44" t="s">
        <v>216</v>
      </c>
      <c r="D63" s="21">
        <v>15</v>
      </c>
      <c r="E63" s="21"/>
      <c r="F63" s="21">
        <v>15.3</v>
      </c>
      <c r="G63" s="21"/>
      <c r="H63" s="21"/>
      <c r="I63" s="21"/>
      <c r="J63" s="21"/>
      <c r="K63" s="21"/>
      <c r="L63" s="21"/>
      <c r="M63" s="21"/>
      <c r="N63" s="45"/>
      <c r="Q63" s="44" t="s">
        <v>216</v>
      </c>
      <c r="R63" s="21">
        <v>15</v>
      </c>
      <c r="S63" s="21"/>
      <c r="T63" s="21">
        <v>33.483700000000006</v>
      </c>
      <c r="U63" s="21"/>
      <c r="V63" s="21"/>
      <c r="W63" s="21"/>
      <c r="X63" s="21"/>
      <c r="Y63" s="21"/>
      <c r="Z63" s="21"/>
      <c r="AA63" s="21"/>
      <c r="AB63" s="45"/>
    </row>
    <row r="64" spans="3:28" x14ac:dyDescent="0.25">
      <c r="C64" s="44" t="s">
        <v>290</v>
      </c>
      <c r="D64" s="21">
        <v>15</v>
      </c>
      <c r="E64" s="21"/>
      <c r="F64" s="21">
        <v>19.883299999999998</v>
      </c>
      <c r="G64" s="21"/>
      <c r="H64" s="21"/>
      <c r="I64" s="21"/>
      <c r="J64" s="21"/>
      <c r="K64" s="21"/>
      <c r="L64" s="21"/>
      <c r="M64" s="21"/>
      <c r="N64" s="45"/>
      <c r="Q64" s="44" t="s">
        <v>290</v>
      </c>
      <c r="R64" s="21">
        <v>15</v>
      </c>
      <c r="S64" s="21"/>
      <c r="T64" s="21">
        <v>46.216999999999992</v>
      </c>
      <c r="U64" s="21"/>
      <c r="V64" s="21"/>
      <c r="W64" s="21"/>
      <c r="X64" s="21"/>
      <c r="Y64" s="21"/>
      <c r="Z64" s="21"/>
      <c r="AA64" s="21"/>
      <c r="AB64" s="45"/>
    </row>
    <row r="65" spans="3:28" x14ac:dyDescent="0.25">
      <c r="C65" s="44" t="s">
        <v>291</v>
      </c>
      <c r="D65" s="21">
        <v>15</v>
      </c>
      <c r="E65" s="21"/>
      <c r="F65" s="21">
        <v>17.183299999999999</v>
      </c>
      <c r="G65" s="21"/>
      <c r="H65" s="21"/>
      <c r="I65" s="21"/>
      <c r="J65" s="21"/>
      <c r="K65" s="21"/>
      <c r="L65" s="21"/>
      <c r="M65" s="21"/>
      <c r="N65" s="45"/>
      <c r="Q65" s="44" t="s">
        <v>291</v>
      </c>
      <c r="R65" s="21">
        <v>15</v>
      </c>
      <c r="S65" s="21"/>
      <c r="T65" s="21">
        <v>15.716700000000001</v>
      </c>
      <c r="U65" s="21"/>
      <c r="V65" s="21"/>
      <c r="W65" s="21"/>
      <c r="X65" s="21"/>
      <c r="Y65" s="21"/>
      <c r="Z65" s="21"/>
      <c r="AA65" s="21"/>
      <c r="AB65" s="45"/>
    </row>
    <row r="66" spans="3:28" x14ac:dyDescent="0.25">
      <c r="C66" s="44" t="s">
        <v>292</v>
      </c>
      <c r="D66" s="21">
        <v>15</v>
      </c>
      <c r="E66" s="21"/>
      <c r="F66" s="21">
        <v>15.767000000000001</v>
      </c>
      <c r="G66" s="21"/>
      <c r="H66" s="21"/>
      <c r="I66" s="21"/>
      <c r="J66" s="21"/>
      <c r="K66" s="21"/>
      <c r="L66" s="21"/>
      <c r="M66" s="21"/>
      <c r="N66" s="45"/>
      <c r="Q66" s="44" t="s">
        <v>292</v>
      </c>
      <c r="R66" s="21">
        <v>15</v>
      </c>
      <c r="S66" s="21"/>
      <c r="T66" s="21">
        <v>8.3333000000000013</v>
      </c>
      <c r="U66" s="21"/>
      <c r="V66" s="21"/>
      <c r="W66" s="21"/>
      <c r="X66" s="21"/>
      <c r="Y66" s="21"/>
      <c r="Z66" s="21"/>
      <c r="AA66" s="21"/>
      <c r="AB66" s="45"/>
    </row>
    <row r="67" spans="3:28" x14ac:dyDescent="0.25">
      <c r="C67" s="44" t="s">
        <v>294</v>
      </c>
      <c r="D67" s="21">
        <v>15</v>
      </c>
      <c r="E67" s="21"/>
      <c r="F67" s="21">
        <v>13.616</v>
      </c>
      <c r="G67" s="21"/>
      <c r="H67" s="21"/>
      <c r="I67" s="21"/>
      <c r="J67" s="21"/>
      <c r="K67" s="21"/>
      <c r="L67" s="21"/>
      <c r="M67" s="21"/>
      <c r="N67" s="45"/>
      <c r="Q67" s="44" t="s">
        <v>294</v>
      </c>
      <c r="R67" s="21">
        <v>15</v>
      </c>
      <c r="S67" s="21"/>
      <c r="T67" s="21">
        <v>6.2006999999999994</v>
      </c>
      <c r="U67" s="21"/>
      <c r="V67" s="21"/>
      <c r="W67" s="21"/>
      <c r="X67" s="21"/>
      <c r="Y67" s="21"/>
      <c r="Z67" s="21"/>
      <c r="AA67" s="21"/>
      <c r="AB67" s="45"/>
    </row>
    <row r="68" spans="3:28" x14ac:dyDescent="0.25">
      <c r="C68" s="44" t="s">
        <v>295</v>
      </c>
      <c r="D68" s="21">
        <v>15</v>
      </c>
      <c r="E68" s="21"/>
      <c r="F68" s="21">
        <v>33.683</v>
      </c>
      <c r="G68" s="21"/>
      <c r="H68" s="21"/>
      <c r="I68" s="21"/>
      <c r="J68" s="21"/>
      <c r="K68" s="21"/>
      <c r="L68" s="21"/>
      <c r="M68" s="21"/>
      <c r="N68" s="45"/>
      <c r="Q68" s="44" t="s">
        <v>295</v>
      </c>
      <c r="R68" s="21">
        <v>15</v>
      </c>
      <c r="S68" s="21"/>
      <c r="T68" s="21">
        <v>48.466999999999999</v>
      </c>
      <c r="U68" s="21"/>
      <c r="V68" s="21"/>
      <c r="W68" s="21"/>
      <c r="X68" s="21"/>
      <c r="Y68" s="21"/>
      <c r="Z68" s="21"/>
      <c r="AA68" s="21"/>
      <c r="AB68" s="45"/>
    </row>
    <row r="69" spans="3:28" x14ac:dyDescent="0.25">
      <c r="C69" s="44" t="s">
        <v>296</v>
      </c>
      <c r="D69" s="21">
        <v>15</v>
      </c>
      <c r="E69" s="21"/>
      <c r="F69" s="21">
        <v>26.1</v>
      </c>
      <c r="G69" s="21"/>
      <c r="H69" s="21"/>
      <c r="I69" s="21"/>
      <c r="J69" s="21"/>
      <c r="K69" s="21"/>
      <c r="L69" s="21"/>
      <c r="M69" s="21"/>
      <c r="N69" s="45"/>
      <c r="Q69" s="44" t="s">
        <v>296</v>
      </c>
      <c r="R69" s="21">
        <v>15</v>
      </c>
      <c r="S69" s="21"/>
      <c r="T69" s="21">
        <v>39.884000000000007</v>
      </c>
      <c r="U69" s="21"/>
      <c r="V69" s="21"/>
      <c r="W69" s="21"/>
      <c r="X69" s="21"/>
      <c r="Y69" s="21"/>
      <c r="Z69" s="21"/>
      <c r="AA69" s="21"/>
      <c r="AB69" s="45"/>
    </row>
    <row r="70" spans="3:28" x14ac:dyDescent="0.25">
      <c r="C70" s="44" t="s">
        <v>299</v>
      </c>
      <c r="D70" s="21">
        <v>15</v>
      </c>
      <c r="E70" s="21"/>
      <c r="F70" s="21">
        <v>19.566299999999998</v>
      </c>
      <c r="G70" s="21"/>
      <c r="H70" s="21"/>
      <c r="I70" s="21"/>
      <c r="J70" s="21"/>
      <c r="K70" s="21"/>
      <c r="L70" s="21"/>
      <c r="M70" s="21"/>
      <c r="N70" s="45"/>
      <c r="Q70" s="44" t="s">
        <v>299</v>
      </c>
      <c r="R70" s="21">
        <v>15</v>
      </c>
      <c r="S70" s="21"/>
      <c r="T70" s="21">
        <v>18.533000000000001</v>
      </c>
      <c r="U70" s="21"/>
      <c r="V70" s="21"/>
      <c r="W70" s="21"/>
      <c r="X70" s="21"/>
      <c r="Y70" s="21"/>
      <c r="Z70" s="21"/>
      <c r="AA70" s="21"/>
      <c r="AB70" s="45"/>
    </row>
    <row r="71" spans="3:28" x14ac:dyDescent="0.25">
      <c r="C71" s="44" t="s">
        <v>301</v>
      </c>
      <c r="D71" s="21">
        <v>15</v>
      </c>
      <c r="E71" s="21"/>
      <c r="F71" s="21">
        <v>44.132999999999996</v>
      </c>
      <c r="G71" s="21"/>
      <c r="H71" s="21"/>
      <c r="I71" s="21"/>
      <c r="J71" s="21"/>
      <c r="K71" s="21"/>
      <c r="L71" s="21"/>
      <c r="M71" s="21"/>
      <c r="N71" s="45"/>
      <c r="Q71" s="44" t="s">
        <v>301</v>
      </c>
      <c r="R71" s="21">
        <v>15</v>
      </c>
      <c r="S71" s="21"/>
      <c r="T71" s="21">
        <v>27.3</v>
      </c>
      <c r="U71" s="21"/>
      <c r="V71" s="21"/>
      <c r="W71" s="21"/>
      <c r="X71" s="21"/>
      <c r="Y71" s="21"/>
      <c r="Z71" s="21"/>
      <c r="AA71" s="21"/>
      <c r="AB71" s="45"/>
    </row>
    <row r="72" spans="3:28" x14ac:dyDescent="0.25">
      <c r="C72" s="44" t="s">
        <v>67</v>
      </c>
      <c r="D72" s="21">
        <v>25</v>
      </c>
      <c r="E72" s="21"/>
      <c r="F72" s="21"/>
      <c r="G72" s="21">
        <v>21.25</v>
      </c>
      <c r="H72" s="21"/>
      <c r="I72" s="21"/>
      <c r="J72" s="21"/>
      <c r="K72" s="21"/>
      <c r="L72" s="21"/>
      <c r="M72" s="21"/>
      <c r="N72" s="45"/>
      <c r="Q72" s="44" t="s">
        <v>67</v>
      </c>
      <c r="R72" s="21">
        <v>25</v>
      </c>
      <c r="S72" s="21"/>
      <c r="T72" s="21"/>
      <c r="U72" s="21">
        <v>40.016666666666666</v>
      </c>
      <c r="V72" s="21"/>
      <c r="W72" s="21"/>
      <c r="X72" s="21"/>
      <c r="Y72" s="21"/>
      <c r="Z72" s="21"/>
      <c r="AA72" s="21"/>
      <c r="AB72" s="45"/>
    </row>
    <row r="73" spans="3:28" x14ac:dyDescent="0.25">
      <c r="C73" s="44" t="s">
        <v>135</v>
      </c>
      <c r="D73" s="21">
        <v>25</v>
      </c>
      <c r="E73" s="21"/>
      <c r="F73" s="21"/>
      <c r="G73" s="21">
        <v>12.533999999999999</v>
      </c>
      <c r="H73" s="21"/>
      <c r="I73" s="21"/>
      <c r="J73" s="21"/>
      <c r="K73" s="21"/>
      <c r="L73" s="21"/>
      <c r="M73" s="21"/>
      <c r="N73" s="45"/>
      <c r="Q73" s="44" t="s">
        <v>135</v>
      </c>
      <c r="R73" s="21">
        <v>25</v>
      </c>
      <c r="S73" s="21"/>
      <c r="T73" s="21"/>
      <c r="U73" s="21">
        <v>42.265999999999998</v>
      </c>
      <c r="V73" s="21"/>
      <c r="W73" s="21"/>
      <c r="X73" s="21"/>
      <c r="Y73" s="21"/>
      <c r="Z73" s="21"/>
      <c r="AA73" s="21"/>
      <c r="AB73" s="45"/>
    </row>
    <row r="74" spans="3:28" x14ac:dyDescent="0.25">
      <c r="C74" s="44" t="s">
        <v>175</v>
      </c>
      <c r="D74" s="21">
        <v>25</v>
      </c>
      <c r="E74" s="21"/>
      <c r="F74" s="21"/>
      <c r="G74" s="21">
        <v>12.149999999999999</v>
      </c>
      <c r="H74" s="21"/>
      <c r="I74" s="21"/>
      <c r="J74" s="21"/>
      <c r="K74" s="21"/>
      <c r="L74" s="21"/>
      <c r="M74" s="21"/>
      <c r="N74" s="45"/>
      <c r="Q74" s="44" t="s">
        <v>175</v>
      </c>
      <c r="R74" s="21">
        <v>25</v>
      </c>
      <c r="S74" s="21"/>
      <c r="T74" s="21"/>
      <c r="U74" s="21">
        <v>36.750000000000007</v>
      </c>
      <c r="V74" s="21"/>
      <c r="W74" s="21"/>
      <c r="X74" s="21"/>
      <c r="Y74" s="21"/>
      <c r="Z74" s="21"/>
      <c r="AA74" s="21"/>
      <c r="AB74" s="45"/>
    </row>
    <row r="75" spans="3:28" x14ac:dyDescent="0.25">
      <c r="C75" s="44" t="s">
        <v>218</v>
      </c>
      <c r="D75" s="21">
        <v>25</v>
      </c>
      <c r="E75" s="21"/>
      <c r="F75" s="21"/>
      <c r="G75" s="21">
        <v>12.067</v>
      </c>
      <c r="H75" s="21"/>
      <c r="I75" s="21"/>
      <c r="J75" s="21"/>
      <c r="K75" s="21"/>
      <c r="L75" s="21"/>
      <c r="M75" s="21"/>
      <c r="N75" s="45"/>
      <c r="Q75" s="44" t="s">
        <v>218</v>
      </c>
      <c r="R75" s="21">
        <v>25</v>
      </c>
      <c r="S75" s="21"/>
      <c r="T75" s="21"/>
      <c r="U75" s="21">
        <v>46.982999999999997</v>
      </c>
      <c r="V75" s="21"/>
      <c r="W75" s="21"/>
      <c r="X75" s="21"/>
      <c r="Y75" s="21"/>
      <c r="Z75" s="21"/>
      <c r="AA75" s="21"/>
      <c r="AB75" s="45"/>
    </row>
    <row r="76" spans="3:28" x14ac:dyDescent="0.25">
      <c r="C76" s="44" t="s">
        <v>54</v>
      </c>
      <c r="D76" s="21">
        <v>35</v>
      </c>
      <c r="E76" s="21"/>
      <c r="F76" s="21"/>
      <c r="G76" s="21"/>
      <c r="H76" s="21">
        <v>17.683</v>
      </c>
      <c r="I76" s="21"/>
      <c r="J76" s="21"/>
      <c r="K76" s="21"/>
      <c r="L76" s="21"/>
      <c r="M76" s="21"/>
      <c r="N76" s="45"/>
      <c r="Q76" s="44" t="s">
        <v>54</v>
      </c>
      <c r="R76" s="21">
        <v>35</v>
      </c>
      <c r="S76" s="21"/>
      <c r="T76" s="21"/>
      <c r="U76" s="21"/>
      <c r="V76" s="21">
        <v>25.465999999999998</v>
      </c>
      <c r="W76" s="21"/>
      <c r="X76" s="21"/>
      <c r="Y76" s="21"/>
      <c r="Z76" s="21"/>
      <c r="AA76" s="21"/>
      <c r="AB76" s="45"/>
    </row>
    <row r="77" spans="3:28" x14ac:dyDescent="0.25">
      <c r="C77" s="44" t="s">
        <v>57</v>
      </c>
      <c r="D77" s="21">
        <v>35</v>
      </c>
      <c r="E77" s="21"/>
      <c r="F77" s="21"/>
      <c r="G77" s="21"/>
      <c r="H77" s="21">
        <v>29.099999999999998</v>
      </c>
      <c r="I77" s="21"/>
      <c r="J77" s="21"/>
      <c r="K77" s="21"/>
      <c r="L77" s="21"/>
      <c r="M77" s="21"/>
      <c r="N77" s="45"/>
      <c r="Q77" s="44" t="s">
        <v>57</v>
      </c>
      <c r="R77" s="21">
        <v>35</v>
      </c>
      <c r="S77" s="21"/>
      <c r="T77" s="21"/>
      <c r="U77" s="21"/>
      <c r="V77" s="21">
        <v>44.332999999999998</v>
      </c>
      <c r="W77" s="21"/>
      <c r="X77" s="21"/>
      <c r="Y77" s="21"/>
      <c r="Z77" s="21"/>
      <c r="AA77" s="21"/>
      <c r="AB77" s="45"/>
    </row>
    <row r="78" spans="3:28" x14ac:dyDescent="0.25">
      <c r="C78" s="44" t="s">
        <v>133</v>
      </c>
      <c r="D78" s="21">
        <v>35</v>
      </c>
      <c r="E78" s="21"/>
      <c r="F78" s="21"/>
      <c r="G78" s="21"/>
      <c r="H78" s="21">
        <v>27.867000000000001</v>
      </c>
      <c r="I78" s="21"/>
      <c r="J78" s="21"/>
      <c r="K78" s="21"/>
      <c r="L78" s="21"/>
      <c r="M78" s="21"/>
      <c r="N78" s="45"/>
      <c r="Q78" s="44" t="s">
        <v>133</v>
      </c>
      <c r="R78" s="21">
        <v>35</v>
      </c>
      <c r="S78" s="21"/>
      <c r="T78" s="21"/>
      <c r="U78" s="21"/>
      <c r="V78" s="21">
        <v>36.5837</v>
      </c>
      <c r="W78" s="21"/>
      <c r="X78" s="21"/>
      <c r="Y78" s="21"/>
      <c r="Z78" s="21"/>
      <c r="AA78" s="21"/>
      <c r="AB78" s="45"/>
    </row>
    <row r="79" spans="3:28" x14ac:dyDescent="0.25">
      <c r="C79" s="44" t="s">
        <v>134</v>
      </c>
      <c r="D79" s="21">
        <v>35</v>
      </c>
      <c r="E79" s="21"/>
      <c r="F79" s="21"/>
      <c r="G79" s="21"/>
      <c r="H79" s="21">
        <v>27.299999999999997</v>
      </c>
      <c r="I79" s="21"/>
      <c r="J79" s="21"/>
      <c r="K79" s="21"/>
      <c r="L79" s="21"/>
      <c r="M79" s="21"/>
      <c r="N79" s="45"/>
      <c r="Q79" s="44" t="s">
        <v>134</v>
      </c>
      <c r="R79" s="21">
        <v>35</v>
      </c>
      <c r="S79" s="21"/>
      <c r="T79" s="21"/>
      <c r="U79" s="21"/>
      <c r="V79" s="21">
        <v>24.417000000000002</v>
      </c>
      <c r="W79" s="21"/>
      <c r="X79" s="21"/>
      <c r="Y79" s="21"/>
      <c r="Z79" s="21"/>
      <c r="AA79" s="21"/>
      <c r="AB79" s="45"/>
    </row>
    <row r="80" spans="3:28" x14ac:dyDescent="0.25">
      <c r="C80" s="44" t="s">
        <v>180</v>
      </c>
      <c r="D80" s="21">
        <v>35</v>
      </c>
      <c r="E80" s="21"/>
      <c r="F80" s="21"/>
      <c r="G80" s="21"/>
      <c r="H80" s="21">
        <v>11.967000000000002</v>
      </c>
      <c r="I80" s="21"/>
      <c r="J80" s="21"/>
      <c r="K80" s="21"/>
      <c r="L80" s="21"/>
      <c r="M80" s="21"/>
      <c r="N80" s="45"/>
      <c r="Q80" s="44" t="s">
        <v>180</v>
      </c>
      <c r="R80" s="21">
        <v>35</v>
      </c>
      <c r="S80" s="21"/>
      <c r="T80" s="21"/>
      <c r="U80" s="21"/>
      <c r="V80" s="21">
        <v>30.051000000000002</v>
      </c>
      <c r="W80" s="21"/>
      <c r="X80" s="21"/>
      <c r="Y80" s="21"/>
      <c r="Z80" s="21"/>
      <c r="AA80" s="21"/>
      <c r="AB80" s="45"/>
    </row>
    <row r="81" spans="3:28" x14ac:dyDescent="0.25">
      <c r="C81" s="44" t="s">
        <v>187</v>
      </c>
      <c r="D81" s="21">
        <v>35</v>
      </c>
      <c r="E81" s="21"/>
      <c r="F81" s="21"/>
      <c r="G81" s="21"/>
      <c r="H81" s="21">
        <v>18</v>
      </c>
      <c r="I81" s="21"/>
      <c r="J81" s="21"/>
      <c r="K81" s="21"/>
      <c r="L81" s="21"/>
      <c r="M81" s="21"/>
      <c r="N81" s="45"/>
      <c r="Q81" s="44" t="s">
        <v>187</v>
      </c>
      <c r="R81" s="21">
        <v>35</v>
      </c>
      <c r="S81" s="21"/>
      <c r="T81" s="21"/>
      <c r="U81" s="21"/>
      <c r="V81" s="21">
        <v>61.084000000000003</v>
      </c>
      <c r="W81" s="21"/>
      <c r="X81" s="21"/>
      <c r="Y81" s="21"/>
      <c r="Z81" s="21"/>
      <c r="AA81" s="21"/>
      <c r="AB81" s="45"/>
    </row>
    <row r="82" spans="3:28" x14ac:dyDescent="0.25">
      <c r="C82" s="44" t="s">
        <v>190</v>
      </c>
      <c r="D82" s="21">
        <v>35</v>
      </c>
      <c r="E82" s="21"/>
      <c r="F82" s="21"/>
      <c r="G82" s="21"/>
      <c r="H82" s="21">
        <v>15.481999999999999</v>
      </c>
      <c r="I82" s="21"/>
      <c r="J82" s="21"/>
      <c r="K82" s="21"/>
      <c r="L82" s="21"/>
      <c r="M82" s="21"/>
      <c r="N82" s="45"/>
      <c r="Q82" s="44" t="s">
        <v>190</v>
      </c>
      <c r="R82" s="21">
        <v>35</v>
      </c>
      <c r="S82" s="21"/>
      <c r="T82" s="21"/>
      <c r="U82" s="21"/>
      <c r="V82" s="21">
        <v>46.199700000000007</v>
      </c>
      <c r="W82" s="21"/>
      <c r="X82" s="21"/>
      <c r="Y82" s="21"/>
      <c r="Z82" s="21"/>
      <c r="AA82" s="21"/>
      <c r="AB82" s="45"/>
    </row>
    <row r="83" spans="3:28" x14ac:dyDescent="0.25">
      <c r="C83" s="44" t="s">
        <v>201</v>
      </c>
      <c r="D83" s="21">
        <v>35</v>
      </c>
      <c r="E83" s="21"/>
      <c r="F83" s="21"/>
      <c r="G83" s="21"/>
      <c r="H83" s="21">
        <v>26.85</v>
      </c>
      <c r="I83" s="21"/>
      <c r="J83" s="21"/>
      <c r="K83" s="21"/>
      <c r="L83" s="21"/>
      <c r="M83" s="21"/>
      <c r="N83" s="45"/>
      <c r="Q83" s="44" t="s">
        <v>201</v>
      </c>
      <c r="R83" s="21">
        <v>35</v>
      </c>
      <c r="S83" s="21"/>
      <c r="T83" s="21"/>
      <c r="U83" s="21"/>
      <c r="V83" s="21">
        <v>25.966999999999999</v>
      </c>
      <c r="W83" s="21"/>
      <c r="X83" s="21"/>
      <c r="Y83" s="21"/>
      <c r="Z83" s="21"/>
      <c r="AA83" s="21"/>
      <c r="AB83" s="45"/>
    </row>
    <row r="84" spans="3:28" x14ac:dyDescent="0.25">
      <c r="C84" s="44" t="s">
        <v>209</v>
      </c>
      <c r="D84" s="21">
        <v>35</v>
      </c>
      <c r="E84" s="21"/>
      <c r="F84" s="21"/>
      <c r="G84" s="21"/>
      <c r="H84" s="21">
        <v>15.649000000000001</v>
      </c>
      <c r="I84" s="21"/>
      <c r="J84" s="21"/>
      <c r="K84" s="21"/>
      <c r="L84" s="21"/>
      <c r="M84" s="21"/>
      <c r="N84" s="45"/>
      <c r="Q84" s="44" t="s">
        <v>209</v>
      </c>
      <c r="R84" s="21">
        <v>35</v>
      </c>
      <c r="S84" s="21"/>
      <c r="T84" s="21"/>
      <c r="U84" s="21"/>
      <c r="V84" s="21">
        <v>21.351000000000003</v>
      </c>
      <c r="W84" s="21"/>
      <c r="X84" s="21"/>
      <c r="Y84" s="21"/>
      <c r="Z84" s="21"/>
      <c r="AA84" s="21"/>
      <c r="AB84" s="45"/>
    </row>
    <row r="85" spans="3:28" x14ac:dyDescent="0.25">
      <c r="C85" s="44" t="s">
        <v>66</v>
      </c>
      <c r="D85" s="21">
        <v>40</v>
      </c>
      <c r="E85" s="21"/>
      <c r="F85" s="21"/>
      <c r="G85" s="21"/>
      <c r="H85" s="21"/>
      <c r="I85" s="21">
        <v>37.800000000000004</v>
      </c>
      <c r="J85" s="21"/>
      <c r="K85" s="21"/>
      <c r="L85" s="21"/>
      <c r="M85" s="21"/>
      <c r="N85" s="45"/>
      <c r="Q85" s="44" t="s">
        <v>66</v>
      </c>
      <c r="R85" s="21">
        <v>40</v>
      </c>
      <c r="S85" s="21"/>
      <c r="T85" s="21"/>
      <c r="U85" s="21"/>
      <c r="V85" s="21"/>
      <c r="W85" s="21">
        <v>32.733333333333334</v>
      </c>
      <c r="X85" s="21"/>
      <c r="Y85" s="21"/>
      <c r="Z85" s="21"/>
      <c r="AA85" s="21"/>
      <c r="AB85" s="45"/>
    </row>
    <row r="86" spans="3:28" x14ac:dyDescent="0.25">
      <c r="C86" s="44" t="s">
        <v>53</v>
      </c>
      <c r="D86" s="21">
        <v>40</v>
      </c>
      <c r="E86" s="21"/>
      <c r="F86" s="21"/>
      <c r="G86" s="21"/>
      <c r="H86" s="21"/>
      <c r="I86" s="21">
        <v>22.699999999999996</v>
      </c>
      <c r="J86" s="21"/>
      <c r="K86" s="21"/>
      <c r="L86" s="21"/>
      <c r="M86" s="21"/>
      <c r="N86" s="45"/>
      <c r="Q86" s="44" t="s">
        <v>53</v>
      </c>
      <c r="R86" s="21">
        <v>40</v>
      </c>
      <c r="S86" s="21"/>
      <c r="T86" s="21"/>
      <c r="U86" s="21"/>
      <c r="V86" s="21"/>
      <c r="W86" s="21">
        <v>26.717999999999993</v>
      </c>
      <c r="X86" s="21"/>
      <c r="Y86" s="21"/>
      <c r="Z86" s="21"/>
      <c r="AA86" s="21"/>
      <c r="AB86" s="45"/>
    </row>
    <row r="87" spans="3:28" x14ac:dyDescent="0.25">
      <c r="C87" s="44" t="s">
        <v>150</v>
      </c>
      <c r="D87" s="21">
        <v>40</v>
      </c>
      <c r="E87" s="21"/>
      <c r="F87" s="21"/>
      <c r="G87" s="21"/>
      <c r="H87" s="21"/>
      <c r="I87" s="21">
        <v>35.849999999999994</v>
      </c>
      <c r="J87" s="21"/>
      <c r="K87" s="21"/>
      <c r="L87" s="21"/>
      <c r="M87" s="21"/>
      <c r="N87" s="45"/>
      <c r="Q87" s="44" t="s">
        <v>150</v>
      </c>
      <c r="R87" s="21">
        <v>40</v>
      </c>
      <c r="S87" s="21"/>
      <c r="T87" s="21"/>
      <c r="U87" s="21"/>
      <c r="V87" s="21"/>
      <c r="W87" s="21">
        <v>62.499000000000009</v>
      </c>
      <c r="X87" s="21"/>
      <c r="Y87" s="21"/>
      <c r="Z87" s="21"/>
      <c r="AA87" s="21"/>
      <c r="AB87" s="45"/>
    </row>
    <row r="88" spans="3:28" x14ac:dyDescent="0.25">
      <c r="C88" s="44" t="s">
        <v>153</v>
      </c>
      <c r="D88" s="21">
        <v>40</v>
      </c>
      <c r="E88" s="21"/>
      <c r="F88" s="21"/>
      <c r="G88" s="21"/>
      <c r="H88" s="21"/>
      <c r="I88" s="21">
        <v>18.533000000000001</v>
      </c>
      <c r="J88" s="21"/>
      <c r="K88" s="21"/>
      <c r="L88" s="21"/>
      <c r="M88" s="21"/>
      <c r="N88" s="45"/>
      <c r="Q88" s="44" t="s">
        <v>153</v>
      </c>
      <c r="R88" s="21">
        <v>40</v>
      </c>
      <c r="S88" s="21"/>
      <c r="T88" s="21"/>
      <c r="U88" s="21"/>
      <c r="V88" s="21"/>
      <c r="W88" s="21">
        <v>51.498699999999999</v>
      </c>
      <c r="X88" s="21"/>
      <c r="Y88" s="21"/>
      <c r="Z88" s="21"/>
      <c r="AA88" s="21"/>
      <c r="AB88" s="45"/>
    </row>
    <row r="89" spans="3:28" x14ac:dyDescent="0.25">
      <c r="C89" s="44" t="s">
        <v>164</v>
      </c>
      <c r="D89" s="21">
        <v>40</v>
      </c>
      <c r="E89" s="21"/>
      <c r="F89" s="21"/>
      <c r="G89" s="21"/>
      <c r="H89" s="21"/>
      <c r="I89" s="21">
        <v>16.967300000000002</v>
      </c>
      <c r="J89" s="21"/>
      <c r="K89" s="21"/>
      <c r="L89" s="21"/>
      <c r="M89" s="21"/>
      <c r="N89" s="45"/>
      <c r="Q89" s="44" t="s">
        <v>164</v>
      </c>
      <c r="R89" s="21">
        <v>40</v>
      </c>
      <c r="S89" s="21"/>
      <c r="T89" s="21"/>
      <c r="U89" s="21"/>
      <c r="V89" s="21"/>
      <c r="W89" s="21">
        <v>53.549700000000001</v>
      </c>
      <c r="X89" s="21"/>
      <c r="Y89" s="21"/>
      <c r="Z89" s="21"/>
      <c r="AA89" s="21"/>
      <c r="AB89" s="45"/>
    </row>
    <row r="90" spans="3:28" x14ac:dyDescent="0.25">
      <c r="C90" s="44" t="s">
        <v>171</v>
      </c>
      <c r="D90" s="21">
        <v>40</v>
      </c>
      <c r="E90" s="21"/>
      <c r="F90" s="21"/>
      <c r="G90" s="21"/>
      <c r="H90" s="21"/>
      <c r="I90" s="21">
        <v>21.300000000000004</v>
      </c>
      <c r="J90" s="21"/>
      <c r="K90" s="21"/>
      <c r="L90" s="21"/>
      <c r="M90" s="21"/>
      <c r="N90" s="45"/>
      <c r="Q90" s="44" t="s">
        <v>171</v>
      </c>
      <c r="R90" s="21">
        <v>40</v>
      </c>
      <c r="S90" s="21"/>
      <c r="T90" s="21"/>
      <c r="U90" s="21"/>
      <c r="V90" s="21"/>
      <c r="W90" s="21">
        <v>43.500700000000002</v>
      </c>
      <c r="X90" s="21"/>
      <c r="Y90" s="21"/>
      <c r="Z90" s="21"/>
      <c r="AA90" s="21"/>
      <c r="AB90" s="45"/>
    </row>
    <row r="91" spans="3:28" x14ac:dyDescent="0.25">
      <c r="C91" s="44" t="s">
        <v>191</v>
      </c>
      <c r="D91" s="21">
        <v>40</v>
      </c>
      <c r="E91" s="21"/>
      <c r="F91" s="21"/>
      <c r="G91" s="21"/>
      <c r="H91" s="21"/>
      <c r="I91" s="21">
        <v>19.165699999999998</v>
      </c>
      <c r="J91" s="21"/>
      <c r="K91" s="21"/>
      <c r="L91" s="21"/>
      <c r="M91" s="21"/>
      <c r="N91" s="45"/>
      <c r="Q91" s="44" t="s">
        <v>191</v>
      </c>
      <c r="R91" s="21">
        <v>40</v>
      </c>
      <c r="S91" s="21"/>
      <c r="T91" s="21"/>
      <c r="U91" s="21"/>
      <c r="V91" s="21"/>
      <c r="W91" s="21">
        <v>57.5336</v>
      </c>
      <c r="X91" s="21"/>
      <c r="Y91" s="21"/>
      <c r="Z91" s="21"/>
      <c r="AA91" s="21"/>
      <c r="AB91" s="45"/>
    </row>
    <row r="92" spans="3:28" x14ac:dyDescent="0.25">
      <c r="C92" s="44" t="s">
        <v>194</v>
      </c>
      <c r="D92" s="21">
        <v>40</v>
      </c>
      <c r="E92" s="21"/>
      <c r="F92" s="21"/>
      <c r="G92" s="21"/>
      <c r="H92" s="21"/>
      <c r="I92" s="21">
        <v>19.5167</v>
      </c>
      <c r="J92" s="21"/>
      <c r="K92" s="21"/>
      <c r="L92" s="21"/>
      <c r="M92" s="21"/>
      <c r="N92" s="45"/>
      <c r="Q92" s="44" t="s">
        <v>194</v>
      </c>
      <c r="R92" s="21">
        <v>40</v>
      </c>
      <c r="S92" s="21"/>
      <c r="T92" s="21"/>
      <c r="U92" s="21"/>
      <c r="V92" s="21"/>
      <c r="W92" s="21">
        <v>42.416000000000004</v>
      </c>
      <c r="X92" s="21"/>
      <c r="Y92" s="21"/>
      <c r="Z92" s="21"/>
      <c r="AA92" s="21"/>
      <c r="AB92" s="45"/>
    </row>
    <row r="93" spans="3:28" x14ac:dyDescent="0.25">
      <c r="C93" s="44" t="s">
        <v>195</v>
      </c>
      <c r="D93" s="21">
        <v>40</v>
      </c>
      <c r="E93" s="21"/>
      <c r="F93" s="21"/>
      <c r="G93" s="21"/>
      <c r="H93" s="21"/>
      <c r="I93" s="21">
        <v>20.049999999999997</v>
      </c>
      <c r="J93" s="21"/>
      <c r="K93" s="21"/>
      <c r="L93" s="21"/>
      <c r="M93" s="21"/>
      <c r="N93" s="45"/>
      <c r="Q93" s="44" t="s">
        <v>195</v>
      </c>
      <c r="R93" s="21">
        <v>40</v>
      </c>
      <c r="S93" s="21"/>
      <c r="T93" s="21"/>
      <c r="U93" s="21"/>
      <c r="V93" s="21"/>
      <c r="W93" s="21">
        <v>41.515999999999998</v>
      </c>
      <c r="X93" s="21"/>
      <c r="Y93" s="21"/>
      <c r="Z93" s="21"/>
      <c r="AA93" s="21"/>
      <c r="AB93" s="45"/>
    </row>
    <row r="94" spans="3:28" x14ac:dyDescent="0.25">
      <c r="C94" s="44" t="s">
        <v>208</v>
      </c>
      <c r="D94" s="21">
        <v>40</v>
      </c>
      <c r="E94" s="21"/>
      <c r="F94" s="21"/>
      <c r="G94" s="21"/>
      <c r="H94" s="21"/>
      <c r="I94" s="21">
        <v>33.742000000000004</v>
      </c>
      <c r="J94" s="21"/>
      <c r="K94" s="21"/>
      <c r="L94" s="21"/>
      <c r="M94" s="21"/>
      <c r="N94" s="45"/>
      <c r="Q94" s="44" t="s">
        <v>208</v>
      </c>
      <c r="R94" s="21">
        <v>40</v>
      </c>
      <c r="S94" s="21"/>
      <c r="T94" s="21"/>
      <c r="U94" s="21"/>
      <c r="V94" s="21"/>
      <c r="W94" s="21">
        <v>60.104999999999997</v>
      </c>
      <c r="X94" s="21"/>
      <c r="Y94" s="21"/>
      <c r="Z94" s="21"/>
      <c r="AA94" s="21"/>
      <c r="AB94" s="45"/>
    </row>
    <row r="95" spans="3:28" x14ac:dyDescent="0.25">
      <c r="C95" s="44" t="s">
        <v>300</v>
      </c>
      <c r="D95" s="21">
        <v>40</v>
      </c>
      <c r="E95" s="21"/>
      <c r="F95" s="21"/>
      <c r="G95" s="21"/>
      <c r="H95" s="21"/>
      <c r="I95" s="21">
        <v>28.067</v>
      </c>
      <c r="J95" s="21"/>
      <c r="K95" s="21"/>
      <c r="L95" s="21"/>
      <c r="M95" s="21"/>
      <c r="N95" s="45"/>
      <c r="Q95" s="44" t="s">
        <v>300</v>
      </c>
      <c r="R95" s="21">
        <v>40</v>
      </c>
      <c r="S95" s="21"/>
      <c r="T95" s="21"/>
      <c r="U95" s="21"/>
      <c r="V95" s="21"/>
      <c r="W95" s="21">
        <v>48.633299999999998</v>
      </c>
      <c r="X95" s="21"/>
      <c r="Y95" s="21"/>
      <c r="Z95" s="21"/>
      <c r="AA95" s="21"/>
      <c r="AB95" s="45"/>
    </row>
    <row r="96" spans="3:28" x14ac:dyDescent="0.25">
      <c r="C96" s="44" t="s">
        <v>302</v>
      </c>
      <c r="D96" s="21">
        <v>40</v>
      </c>
      <c r="E96" s="21"/>
      <c r="F96" s="21"/>
      <c r="G96" s="21"/>
      <c r="H96" s="21"/>
      <c r="I96" s="21">
        <v>22.5</v>
      </c>
      <c r="J96" s="21"/>
      <c r="K96" s="21"/>
      <c r="L96" s="21"/>
      <c r="M96" s="21"/>
      <c r="N96" s="45"/>
      <c r="Q96" s="44" t="s">
        <v>302</v>
      </c>
      <c r="R96" s="21">
        <v>40</v>
      </c>
      <c r="S96" s="21"/>
      <c r="T96" s="21"/>
      <c r="U96" s="21"/>
      <c r="V96" s="21"/>
      <c r="W96" s="21">
        <v>63</v>
      </c>
      <c r="X96" s="21"/>
      <c r="Y96" s="21"/>
      <c r="Z96" s="21"/>
      <c r="AA96" s="21"/>
      <c r="AB96" s="45"/>
    </row>
    <row r="97" spans="3:28" x14ac:dyDescent="0.25">
      <c r="C97" s="44" t="s">
        <v>55</v>
      </c>
      <c r="D97" s="21">
        <v>50</v>
      </c>
      <c r="E97" s="21"/>
      <c r="F97" s="21"/>
      <c r="G97" s="21"/>
      <c r="H97" s="21"/>
      <c r="I97" s="21"/>
      <c r="J97" s="21">
        <v>21.816666666666666</v>
      </c>
      <c r="K97" s="21"/>
      <c r="L97" s="21"/>
      <c r="M97" s="21"/>
      <c r="N97" s="45"/>
      <c r="Q97" s="44" t="s">
        <v>55</v>
      </c>
      <c r="R97" s="21">
        <v>50</v>
      </c>
      <c r="S97" s="21"/>
      <c r="T97" s="21"/>
      <c r="U97" s="21"/>
      <c r="V97" s="21"/>
      <c r="W97" s="21"/>
      <c r="X97" s="21">
        <v>24.65</v>
      </c>
      <c r="Y97" s="21"/>
      <c r="Z97" s="21"/>
      <c r="AA97" s="21"/>
      <c r="AB97" s="45"/>
    </row>
    <row r="98" spans="3:28" x14ac:dyDescent="0.25">
      <c r="C98" s="44" t="s">
        <v>154</v>
      </c>
      <c r="D98" s="21">
        <v>50</v>
      </c>
      <c r="E98" s="21"/>
      <c r="F98" s="21"/>
      <c r="G98" s="21"/>
      <c r="H98" s="21"/>
      <c r="I98" s="21"/>
      <c r="J98" s="21">
        <v>16.400000000000002</v>
      </c>
      <c r="K98" s="21"/>
      <c r="L98" s="21"/>
      <c r="M98" s="21"/>
      <c r="N98" s="45"/>
      <c r="Q98" s="44" t="s">
        <v>154</v>
      </c>
      <c r="R98" s="21">
        <v>50</v>
      </c>
      <c r="S98" s="21"/>
      <c r="T98" s="21"/>
      <c r="U98" s="21"/>
      <c r="V98" s="21"/>
      <c r="W98" s="21"/>
      <c r="X98" s="21">
        <v>27.980000000000004</v>
      </c>
      <c r="Y98" s="21"/>
      <c r="Z98" s="21"/>
      <c r="AA98" s="21"/>
      <c r="AB98" s="45"/>
    </row>
    <row r="99" spans="3:28" x14ac:dyDescent="0.25">
      <c r="C99" s="44" t="s">
        <v>177</v>
      </c>
      <c r="D99" s="21">
        <v>50</v>
      </c>
      <c r="E99" s="21"/>
      <c r="F99" s="21"/>
      <c r="G99" s="21"/>
      <c r="H99" s="21"/>
      <c r="I99" s="21"/>
      <c r="J99" s="21">
        <v>30.716300000000004</v>
      </c>
      <c r="K99" s="21"/>
      <c r="L99" s="21"/>
      <c r="M99" s="21"/>
      <c r="N99" s="45"/>
      <c r="Q99" s="44" t="s">
        <v>177</v>
      </c>
      <c r="R99" s="21">
        <v>50</v>
      </c>
      <c r="S99" s="21"/>
      <c r="T99" s="21"/>
      <c r="U99" s="21"/>
      <c r="V99" s="21"/>
      <c r="W99" s="21"/>
      <c r="X99" s="21">
        <v>40.414999999999999</v>
      </c>
      <c r="Y99" s="21"/>
      <c r="Z99" s="21"/>
      <c r="AA99" s="21"/>
      <c r="AB99" s="45"/>
    </row>
    <row r="100" spans="3:28" x14ac:dyDescent="0.25">
      <c r="C100" s="44" t="s">
        <v>289</v>
      </c>
      <c r="D100" s="21">
        <v>50</v>
      </c>
      <c r="E100" s="21"/>
      <c r="F100" s="21"/>
      <c r="G100" s="21"/>
      <c r="H100" s="21"/>
      <c r="I100" s="21"/>
      <c r="J100" s="21">
        <v>24.083300000000008</v>
      </c>
      <c r="K100" s="21"/>
      <c r="L100" s="21"/>
      <c r="M100" s="21"/>
      <c r="N100" s="45"/>
      <c r="Q100" s="44" t="s">
        <v>289</v>
      </c>
      <c r="R100" s="21">
        <v>50</v>
      </c>
      <c r="S100" s="21"/>
      <c r="T100" s="21"/>
      <c r="U100" s="21"/>
      <c r="V100" s="21"/>
      <c r="W100" s="21"/>
      <c r="X100" s="21">
        <v>45.216999999999999</v>
      </c>
      <c r="Y100" s="21"/>
      <c r="Z100" s="21"/>
      <c r="AA100" s="21"/>
      <c r="AB100" s="45"/>
    </row>
    <row r="101" spans="3:28" x14ac:dyDescent="0.25">
      <c r="C101" s="44" t="s">
        <v>304</v>
      </c>
      <c r="D101" s="21">
        <v>50</v>
      </c>
      <c r="E101" s="21"/>
      <c r="F101" s="21"/>
      <c r="G101" s="21"/>
      <c r="H101" s="21"/>
      <c r="I101" s="21"/>
      <c r="J101" s="21">
        <v>23.483000000000004</v>
      </c>
      <c r="K101" s="21"/>
      <c r="L101" s="21"/>
      <c r="M101" s="21"/>
      <c r="N101" s="45"/>
      <c r="Q101" s="44" t="s">
        <v>304</v>
      </c>
      <c r="R101" s="21">
        <v>50</v>
      </c>
      <c r="S101" s="21"/>
      <c r="T101" s="21"/>
      <c r="U101" s="21"/>
      <c r="V101" s="21"/>
      <c r="W101" s="21"/>
      <c r="X101" s="21">
        <v>52.516999999999996</v>
      </c>
      <c r="Y101" s="21"/>
      <c r="Z101" s="21"/>
      <c r="AA101" s="21"/>
      <c r="AB101" s="45"/>
    </row>
    <row r="102" spans="3:28" x14ac:dyDescent="0.25">
      <c r="C102" s="44" t="s">
        <v>56</v>
      </c>
      <c r="D102" s="21">
        <v>60</v>
      </c>
      <c r="E102" s="21"/>
      <c r="F102" s="21"/>
      <c r="G102" s="21"/>
      <c r="H102" s="21"/>
      <c r="I102" s="21"/>
      <c r="J102" s="21"/>
      <c r="K102" s="21">
        <v>17.95</v>
      </c>
      <c r="L102" s="21"/>
      <c r="M102" s="21"/>
      <c r="N102" s="45"/>
      <c r="Q102" s="44" t="s">
        <v>56</v>
      </c>
      <c r="R102" s="21">
        <v>60</v>
      </c>
      <c r="S102" s="21"/>
      <c r="T102" s="21"/>
      <c r="U102" s="21"/>
      <c r="V102" s="21"/>
      <c r="W102" s="21"/>
      <c r="X102" s="21"/>
      <c r="Y102" s="21">
        <v>57.766666666666666</v>
      </c>
      <c r="Z102" s="21"/>
      <c r="AA102" s="21"/>
      <c r="AB102" s="45"/>
    </row>
    <row r="103" spans="3:28" x14ac:dyDescent="0.25">
      <c r="C103" s="44" t="s">
        <v>136</v>
      </c>
      <c r="D103" s="21">
        <v>60</v>
      </c>
      <c r="E103" s="21"/>
      <c r="F103" s="21"/>
      <c r="G103" s="21"/>
      <c r="H103" s="21"/>
      <c r="I103" s="21"/>
      <c r="J103" s="21"/>
      <c r="K103" s="21">
        <v>28.850999999999999</v>
      </c>
      <c r="L103" s="21"/>
      <c r="M103" s="21"/>
      <c r="N103" s="45"/>
      <c r="Q103" s="44" t="s">
        <v>136</v>
      </c>
      <c r="R103" s="21">
        <v>60</v>
      </c>
      <c r="S103" s="21"/>
      <c r="T103" s="21"/>
      <c r="U103" s="21"/>
      <c r="V103" s="21"/>
      <c r="W103" s="21"/>
      <c r="X103" s="21"/>
      <c r="Y103" s="21">
        <v>48.048999999999992</v>
      </c>
      <c r="Z103" s="21"/>
      <c r="AA103" s="21"/>
      <c r="AB103" s="45"/>
    </row>
    <row r="104" spans="3:28" x14ac:dyDescent="0.25">
      <c r="C104" s="44" t="s">
        <v>147</v>
      </c>
      <c r="D104" s="21">
        <v>60</v>
      </c>
      <c r="E104" s="21"/>
      <c r="F104" s="21"/>
      <c r="G104" s="21"/>
      <c r="H104" s="21"/>
      <c r="I104" s="21"/>
      <c r="J104" s="21"/>
      <c r="K104" s="21">
        <v>14.064499999999999</v>
      </c>
      <c r="L104" s="21"/>
      <c r="M104" s="21"/>
      <c r="N104" s="45"/>
      <c r="Q104" s="44" t="s">
        <v>147</v>
      </c>
      <c r="R104" s="21">
        <v>60</v>
      </c>
      <c r="S104" s="21"/>
      <c r="T104" s="21"/>
      <c r="U104" s="21"/>
      <c r="V104" s="21"/>
      <c r="W104" s="21"/>
      <c r="X104" s="21"/>
      <c r="Y104" s="21">
        <v>19.420999999999999</v>
      </c>
      <c r="Z104" s="21"/>
      <c r="AA104" s="21"/>
      <c r="AB104" s="45"/>
    </row>
    <row r="105" spans="3:28" x14ac:dyDescent="0.25">
      <c r="C105" s="44" t="s">
        <v>148</v>
      </c>
      <c r="D105" s="21">
        <v>60</v>
      </c>
      <c r="E105" s="21"/>
      <c r="F105" s="21"/>
      <c r="G105" s="21"/>
      <c r="H105" s="21"/>
      <c r="I105" s="21"/>
      <c r="J105" s="21"/>
      <c r="K105" s="21">
        <v>26.050999999999998</v>
      </c>
      <c r="L105" s="21"/>
      <c r="M105" s="21"/>
      <c r="N105" s="45"/>
      <c r="Q105" s="44" t="s">
        <v>148</v>
      </c>
      <c r="R105" s="21">
        <v>60</v>
      </c>
      <c r="S105" s="21"/>
      <c r="T105" s="21"/>
      <c r="U105" s="21"/>
      <c r="V105" s="21"/>
      <c r="W105" s="21"/>
      <c r="X105" s="21"/>
      <c r="Y105" s="21">
        <v>35.667000000000002</v>
      </c>
      <c r="Z105" s="21"/>
      <c r="AA105" s="21"/>
      <c r="AB105" s="45"/>
    </row>
    <row r="106" spans="3:28" x14ac:dyDescent="0.25">
      <c r="C106" s="44" t="s">
        <v>163</v>
      </c>
      <c r="D106" s="21">
        <v>60</v>
      </c>
      <c r="E106" s="21"/>
      <c r="F106" s="21"/>
      <c r="G106" s="21"/>
      <c r="H106" s="21"/>
      <c r="I106" s="21"/>
      <c r="J106" s="21"/>
      <c r="K106" s="21">
        <v>31.1</v>
      </c>
      <c r="L106" s="21"/>
      <c r="M106" s="21"/>
      <c r="N106" s="45"/>
      <c r="Q106" s="44" t="s">
        <v>163</v>
      </c>
      <c r="R106" s="21">
        <v>60</v>
      </c>
      <c r="S106" s="21"/>
      <c r="T106" s="21"/>
      <c r="U106" s="21"/>
      <c r="V106" s="21"/>
      <c r="W106" s="21"/>
      <c r="X106" s="21"/>
      <c r="Y106" s="21">
        <v>15.433</v>
      </c>
      <c r="Z106" s="21"/>
      <c r="AA106" s="21"/>
      <c r="AB106" s="45"/>
    </row>
    <row r="107" spans="3:28" x14ac:dyDescent="0.25">
      <c r="C107" s="44" t="s">
        <v>165</v>
      </c>
      <c r="D107" s="21">
        <v>60</v>
      </c>
      <c r="E107" s="21"/>
      <c r="F107" s="21"/>
      <c r="G107" s="21"/>
      <c r="H107" s="21"/>
      <c r="I107" s="21"/>
      <c r="J107" s="21"/>
      <c r="K107" s="21">
        <v>13.353499999999999</v>
      </c>
      <c r="L107" s="21"/>
      <c r="M107" s="21"/>
      <c r="N107" s="45"/>
      <c r="Q107" s="44" t="s">
        <v>165</v>
      </c>
      <c r="R107" s="21">
        <v>60</v>
      </c>
      <c r="S107" s="21"/>
      <c r="T107" s="21"/>
      <c r="U107" s="21"/>
      <c r="V107" s="21"/>
      <c r="W107" s="21"/>
      <c r="X107" s="21"/>
      <c r="Y107" s="21">
        <v>27.739000000000001</v>
      </c>
      <c r="Z107" s="21"/>
      <c r="AA107" s="21"/>
      <c r="AB107" s="45"/>
    </row>
    <row r="108" spans="3:28" x14ac:dyDescent="0.25">
      <c r="C108" s="44" t="s">
        <v>166</v>
      </c>
      <c r="D108" s="21">
        <v>60</v>
      </c>
      <c r="E108" s="21"/>
      <c r="F108" s="21"/>
      <c r="G108" s="21"/>
      <c r="H108" s="21"/>
      <c r="I108" s="21"/>
      <c r="J108" s="21"/>
      <c r="K108" s="21">
        <v>13.178000000000001</v>
      </c>
      <c r="L108" s="21"/>
      <c r="M108" s="21"/>
      <c r="N108" s="45"/>
      <c r="Q108" s="44" t="s">
        <v>166</v>
      </c>
      <c r="R108" s="21">
        <v>60</v>
      </c>
      <c r="S108" s="21"/>
      <c r="T108" s="21"/>
      <c r="U108" s="21"/>
      <c r="V108" s="21"/>
      <c r="W108" s="21"/>
      <c r="X108" s="21"/>
      <c r="Y108" s="21">
        <v>23.023300000000003</v>
      </c>
      <c r="Z108" s="21"/>
      <c r="AA108" s="21"/>
      <c r="AB108" s="45"/>
    </row>
    <row r="109" spans="3:28" x14ac:dyDescent="0.25">
      <c r="C109" s="44" t="s">
        <v>174</v>
      </c>
      <c r="D109" s="21">
        <v>60</v>
      </c>
      <c r="E109" s="21"/>
      <c r="F109" s="21"/>
      <c r="G109" s="21"/>
      <c r="H109" s="21"/>
      <c r="I109" s="21"/>
      <c r="J109" s="21"/>
      <c r="K109" s="21">
        <v>27.716999999999999</v>
      </c>
      <c r="L109" s="21"/>
      <c r="M109" s="21"/>
      <c r="N109" s="45"/>
      <c r="Q109" s="44" t="s">
        <v>174</v>
      </c>
      <c r="R109" s="21">
        <v>60</v>
      </c>
      <c r="S109" s="21"/>
      <c r="T109" s="21"/>
      <c r="U109" s="21"/>
      <c r="V109" s="21"/>
      <c r="W109" s="21"/>
      <c r="X109" s="21"/>
      <c r="Y109" s="21">
        <v>52.750999999999998</v>
      </c>
      <c r="Z109" s="21"/>
      <c r="AA109" s="21"/>
      <c r="AB109" s="45"/>
    </row>
    <row r="110" spans="3:28" x14ac:dyDescent="0.25">
      <c r="C110" s="44" t="s">
        <v>176</v>
      </c>
      <c r="D110" s="21">
        <v>60</v>
      </c>
      <c r="E110" s="21"/>
      <c r="F110" s="21"/>
      <c r="G110" s="21"/>
      <c r="H110" s="21"/>
      <c r="I110" s="21"/>
      <c r="J110" s="21"/>
      <c r="K110" s="21">
        <v>31.971999999999998</v>
      </c>
      <c r="L110" s="21"/>
      <c r="M110" s="21"/>
      <c r="N110" s="45"/>
      <c r="Q110" s="44" t="s">
        <v>176</v>
      </c>
      <c r="R110" s="21">
        <v>60</v>
      </c>
      <c r="S110" s="21"/>
      <c r="T110" s="21"/>
      <c r="U110" s="21"/>
      <c r="V110" s="21"/>
      <c r="W110" s="21"/>
      <c r="X110" s="21"/>
      <c r="Y110" s="21">
        <v>39.349999999999994</v>
      </c>
      <c r="Z110" s="21"/>
      <c r="AA110" s="21"/>
      <c r="AB110" s="45"/>
    </row>
    <row r="111" spans="3:28" x14ac:dyDescent="0.25">
      <c r="C111" s="44" t="s">
        <v>178</v>
      </c>
      <c r="D111" s="21">
        <v>60</v>
      </c>
      <c r="E111" s="21"/>
      <c r="F111" s="21"/>
      <c r="G111" s="21"/>
      <c r="H111" s="21"/>
      <c r="I111" s="21"/>
      <c r="J111" s="21"/>
      <c r="K111" s="21">
        <v>27.817</v>
      </c>
      <c r="L111" s="21"/>
      <c r="M111" s="21"/>
      <c r="N111" s="45"/>
      <c r="Q111" s="44" t="s">
        <v>178</v>
      </c>
      <c r="R111" s="21">
        <v>60</v>
      </c>
      <c r="S111" s="21"/>
      <c r="T111" s="21"/>
      <c r="U111" s="21"/>
      <c r="V111" s="21"/>
      <c r="W111" s="21"/>
      <c r="X111" s="21"/>
      <c r="Y111" s="21">
        <v>33.766000000000005</v>
      </c>
      <c r="Z111" s="21"/>
      <c r="AA111" s="21"/>
      <c r="AB111" s="45"/>
    </row>
    <row r="112" spans="3:28" x14ac:dyDescent="0.25">
      <c r="C112" s="44" t="s">
        <v>182</v>
      </c>
      <c r="D112" s="21">
        <v>60</v>
      </c>
      <c r="E112" s="21"/>
      <c r="F112" s="21"/>
      <c r="G112" s="21"/>
      <c r="H112" s="21"/>
      <c r="I112" s="21"/>
      <c r="J112" s="21"/>
      <c r="K112" s="21">
        <v>19.408999999999999</v>
      </c>
      <c r="L112" s="21"/>
      <c r="M112" s="21"/>
      <c r="N112" s="45"/>
      <c r="Q112" s="44" t="s">
        <v>182</v>
      </c>
      <c r="R112" s="21">
        <v>60</v>
      </c>
      <c r="S112" s="21"/>
      <c r="T112" s="21"/>
      <c r="U112" s="21"/>
      <c r="V112" s="21"/>
      <c r="W112" s="21"/>
      <c r="X112" s="21"/>
      <c r="Y112" s="21">
        <v>59.820500000000003</v>
      </c>
      <c r="Z112" s="21"/>
      <c r="AA112" s="21"/>
      <c r="AB112" s="45"/>
    </row>
    <row r="113" spans="3:28" x14ac:dyDescent="0.25">
      <c r="C113" s="44" t="s">
        <v>183</v>
      </c>
      <c r="D113" s="21">
        <v>60</v>
      </c>
      <c r="E113" s="21"/>
      <c r="F113" s="21"/>
      <c r="G113" s="21"/>
      <c r="H113" s="21"/>
      <c r="I113" s="21"/>
      <c r="J113" s="21"/>
      <c r="K113" s="21">
        <v>16.032999999999998</v>
      </c>
      <c r="L113" s="21"/>
      <c r="M113" s="21"/>
      <c r="N113" s="45"/>
      <c r="Q113" s="44" t="s">
        <v>183</v>
      </c>
      <c r="R113" s="21">
        <v>60</v>
      </c>
      <c r="S113" s="21"/>
      <c r="T113" s="21"/>
      <c r="U113" s="21"/>
      <c r="V113" s="21"/>
      <c r="W113" s="21"/>
      <c r="X113" s="21"/>
      <c r="Y113" s="21">
        <v>38.116999999999997</v>
      </c>
      <c r="Z113" s="21"/>
      <c r="AA113" s="21"/>
      <c r="AB113" s="45"/>
    </row>
    <row r="114" spans="3:28" x14ac:dyDescent="0.25">
      <c r="C114" s="44" t="s">
        <v>185</v>
      </c>
      <c r="D114" s="21">
        <v>60</v>
      </c>
      <c r="E114" s="21"/>
      <c r="F114" s="21"/>
      <c r="G114" s="21"/>
      <c r="H114" s="21"/>
      <c r="I114" s="21"/>
      <c r="J114" s="21"/>
      <c r="K114" s="21">
        <v>34.224299999999999</v>
      </c>
      <c r="L114" s="21"/>
      <c r="M114" s="21"/>
      <c r="N114" s="45"/>
      <c r="Q114" s="44" t="s">
        <v>185</v>
      </c>
      <c r="R114" s="21">
        <v>60</v>
      </c>
      <c r="S114" s="21"/>
      <c r="T114" s="21"/>
      <c r="U114" s="21"/>
      <c r="V114" s="21"/>
      <c r="W114" s="21"/>
      <c r="X114" s="21"/>
      <c r="Y114" s="21">
        <v>20.515999999999998</v>
      </c>
      <c r="Z114" s="21"/>
      <c r="AA114" s="21"/>
      <c r="AB114" s="45"/>
    </row>
    <row r="115" spans="3:28" x14ac:dyDescent="0.25">
      <c r="C115" s="44" t="s">
        <v>202</v>
      </c>
      <c r="D115" s="21">
        <v>60</v>
      </c>
      <c r="E115" s="21"/>
      <c r="F115" s="21"/>
      <c r="G115" s="21"/>
      <c r="H115" s="21"/>
      <c r="I115" s="21"/>
      <c r="J115" s="21"/>
      <c r="K115" s="21">
        <v>12.082999999999998</v>
      </c>
      <c r="L115" s="21"/>
      <c r="M115" s="21"/>
      <c r="N115" s="45"/>
      <c r="Q115" s="44" t="s">
        <v>202</v>
      </c>
      <c r="R115" s="21">
        <v>60</v>
      </c>
      <c r="S115" s="21"/>
      <c r="T115" s="21"/>
      <c r="U115" s="21"/>
      <c r="V115" s="21"/>
      <c r="W115" s="21"/>
      <c r="X115" s="21"/>
      <c r="Y115" s="21">
        <v>13.1</v>
      </c>
      <c r="Z115" s="21"/>
      <c r="AA115" s="21"/>
      <c r="AB115" s="45"/>
    </row>
    <row r="116" spans="3:28" x14ac:dyDescent="0.25">
      <c r="C116" s="44" t="s">
        <v>206</v>
      </c>
      <c r="D116" s="21">
        <v>60</v>
      </c>
      <c r="E116" s="21"/>
      <c r="F116" s="21"/>
      <c r="G116" s="21"/>
      <c r="H116" s="21"/>
      <c r="I116" s="21"/>
      <c r="J116" s="21"/>
      <c r="K116" s="21">
        <v>42.033999999999999</v>
      </c>
      <c r="L116" s="21"/>
      <c r="M116" s="21"/>
      <c r="N116" s="45"/>
      <c r="Q116" s="44" t="s">
        <v>206</v>
      </c>
      <c r="R116" s="21">
        <v>60</v>
      </c>
      <c r="S116" s="21"/>
      <c r="T116" s="21"/>
      <c r="U116" s="21"/>
      <c r="V116" s="21"/>
      <c r="W116" s="21"/>
      <c r="X116" s="21"/>
      <c r="Y116" s="21">
        <v>31.0717</v>
      </c>
      <c r="Z116" s="21"/>
      <c r="AA116" s="21"/>
      <c r="AB116" s="45"/>
    </row>
    <row r="117" spans="3:28" x14ac:dyDescent="0.25">
      <c r="C117" s="44" t="s">
        <v>293</v>
      </c>
      <c r="D117" s="21">
        <v>60</v>
      </c>
      <c r="E117" s="21"/>
      <c r="F117" s="21"/>
      <c r="G117" s="21"/>
      <c r="H117" s="21"/>
      <c r="I117" s="21"/>
      <c r="J117" s="21"/>
      <c r="K117" s="21">
        <v>21.083000000000002</v>
      </c>
      <c r="L117" s="21"/>
      <c r="M117" s="21"/>
      <c r="N117" s="45"/>
      <c r="Q117" s="44" t="s">
        <v>293</v>
      </c>
      <c r="R117" s="21">
        <v>60</v>
      </c>
      <c r="S117" s="21"/>
      <c r="T117" s="21"/>
      <c r="U117" s="21"/>
      <c r="V117" s="21"/>
      <c r="W117" s="21"/>
      <c r="X117" s="21"/>
      <c r="Y117" s="21">
        <v>32.732700000000001</v>
      </c>
      <c r="Z117" s="21"/>
      <c r="AA117" s="21"/>
      <c r="AB117" s="45"/>
    </row>
    <row r="118" spans="3:28" x14ac:dyDescent="0.25">
      <c r="C118" s="44" t="s">
        <v>58</v>
      </c>
      <c r="D118" s="21">
        <v>80</v>
      </c>
      <c r="E118" s="21"/>
      <c r="F118" s="21"/>
      <c r="G118" s="21"/>
      <c r="H118" s="21"/>
      <c r="I118" s="21"/>
      <c r="J118" s="21"/>
      <c r="K118" s="21"/>
      <c r="L118" s="21">
        <v>18.364799999999999</v>
      </c>
      <c r="M118" s="21"/>
      <c r="N118" s="45"/>
      <c r="Q118" s="44" t="s">
        <v>58</v>
      </c>
      <c r="R118" s="21">
        <v>80</v>
      </c>
      <c r="S118" s="21"/>
      <c r="T118" s="21"/>
      <c r="U118" s="21"/>
      <c r="V118" s="21"/>
      <c r="W118" s="21"/>
      <c r="X118" s="21"/>
      <c r="Y118" s="21"/>
      <c r="Z118" s="21">
        <v>29.419</v>
      </c>
      <c r="AA118" s="21"/>
      <c r="AB118" s="45"/>
    </row>
    <row r="119" spans="3:28" x14ac:dyDescent="0.25">
      <c r="C119" s="44" t="s">
        <v>152</v>
      </c>
      <c r="D119" s="21">
        <v>80</v>
      </c>
      <c r="E119" s="21"/>
      <c r="F119" s="21"/>
      <c r="G119" s="21"/>
      <c r="H119" s="21"/>
      <c r="I119" s="21"/>
      <c r="J119" s="21"/>
      <c r="K119" s="21"/>
      <c r="L119" s="21">
        <v>21.95</v>
      </c>
      <c r="M119" s="21"/>
      <c r="N119" s="45"/>
      <c r="Q119" s="44" t="s">
        <v>152</v>
      </c>
      <c r="R119" s="21">
        <v>80</v>
      </c>
      <c r="S119" s="21"/>
      <c r="T119" s="21"/>
      <c r="U119" s="21"/>
      <c r="V119" s="21"/>
      <c r="W119" s="21"/>
      <c r="X119" s="21"/>
      <c r="Y119" s="21"/>
      <c r="Z119" s="21">
        <v>32.850300000000004</v>
      </c>
      <c r="AA119" s="21"/>
      <c r="AB119" s="45"/>
    </row>
    <row r="120" spans="3:28" x14ac:dyDescent="0.25">
      <c r="C120" s="44" t="s">
        <v>179</v>
      </c>
      <c r="D120" s="21">
        <v>80</v>
      </c>
      <c r="E120" s="21"/>
      <c r="F120" s="21"/>
      <c r="G120" s="21"/>
      <c r="H120" s="21"/>
      <c r="I120" s="21"/>
      <c r="J120" s="21"/>
      <c r="K120" s="21"/>
      <c r="L120" s="21">
        <v>24.167000000000002</v>
      </c>
      <c r="M120" s="21"/>
      <c r="N120" s="45"/>
      <c r="Q120" s="44" t="s">
        <v>179</v>
      </c>
      <c r="R120" s="21">
        <v>80</v>
      </c>
      <c r="S120" s="21"/>
      <c r="T120" s="21"/>
      <c r="U120" s="21"/>
      <c r="V120" s="21"/>
      <c r="W120" s="21"/>
      <c r="X120" s="21"/>
      <c r="Y120" s="21"/>
      <c r="Z120" s="21">
        <v>22.016399999999997</v>
      </c>
      <c r="AA120" s="21"/>
      <c r="AB120" s="45"/>
    </row>
    <row r="121" spans="3:28" x14ac:dyDescent="0.25">
      <c r="C121" s="44" t="s">
        <v>217</v>
      </c>
      <c r="D121" s="21">
        <v>80</v>
      </c>
      <c r="E121" s="21"/>
      <c r="F121" s="21"/>
      <c r="G121" s="21"/>
      <c r="H121" s="21"/>
      <c r="I121" s="21"/>
      <c r="J121" s="21"/>
      <c r="K121" s="21"/>
      <c r="L121" s="21">
        <v>7.3056999999999981</v>
      </c>
      <c r="M121" s="21"/>
      <c r="N121" s="45"/>
      <c r="Q121" s="44" t="s">
        <v>217</v>
      </c>
      <c r="R121" s="21">
        <v>80</v>
      </c>
      <c r="S121" s="21"/>
      <c r="T121" s="21"/>
      <c r="U121" s="21"/>
      <c r="V121" s="21"/>
      <c r="W121" s="21"/>
      <c r="X121" s="21"/>
      <c r="Y121" s="21"/>
      <c r="Z121" s="21">
        <v>46.535999999999994</v>
      </c>
      <c r="AA121" s="21"/>
      <c r="AB121" s="45"/>
    </row>
    <row r="122" spans="3:28" x14ac:dyDescent="0.25">
      <c r="C122" s="44" t="s">
        <v>303</v>
      </c>
      <c r="D122" s="21">
        <v>80</v>
      </c>
      <c r="E122" s="21"/>
      <c r="F122" s="21"/>
      <c r="G122" s="21"/>
      <c r="H122" s="21"/>
      <c r="I122" s="21"/>
      <c r="J122" s="21"/>
      <c r="K122" s="21"/>
      <c r="L122" s="21">
        <v>21.25</v>
      </c>
      <c r="M122" s="21"/>
      <c r="N122" s="45"/>
      <c r="Q122" s="44" t="s">
        <v>303</v>
      </c>
      <c r="R122" s="21">
        <v>80</v>
      </c>
      <c r="S122" s="21"/>
      <c r="T122" s="21"/>
      <c r="U122" s="21"/>
      <c r="V122" s="21"/>
      <c r="W122" s="21"/>
      <c r="X122" s="21"/>
      <c r="Y122" s="21"/>
      <c r="Z122" s="21">
        <v>30.383000000000003</v>
      </c>
      <c r="AA122" s="21"/>
      <c r="AB122" s="45"/>
    </row>
    <row r="123" spans="3:28" x14ac:dyDescent="0.25">
      <c r="C123" s="44" t="s">
        <v>186</v>
      </c>
      <c r="D123" s="21">
        <v>85</v>
      </c>
      <c r="E123" s="21"/>
      <c r="F123" s="21"/>
      <c r="G123" s="21"/>
      <c r="H123" s="21"/>
      <c r="I123" s="21"/>
      <c r="J123" s="21"/>
      <c r="K123" s="21"/>
      <c r="L123" s="21"/>
      <c r="M123" s="21">
        <v>30.300999999999998</v>
      </c>
      <c r="N123" s="45"/>
      <c r="Q123" s="44" t="s">
        <v>186</v>
      </c>
      <c r="R123" s="21">
        <v>85</v>
      </c>
      <c r="S123" s="21"/>
      <c r="T123" s="21"/>
      <c r="U123" s="21"/>
      <c r="V123" s="21"/>
      <c r="W123" s="21"/>
      <c r="X123" s="21"/>
      <c r="Y123" s="21"/>
      <c r="Z123" s="21"/>
      <c r="AA123" s="21">
        <v>51.100299999999997</v>
      </c>
      <c r="AB123" s="45"/>
    </row>
    <row r="124" spans="3:28" x14ac:dyDescent="0.25">
      <c r="C124" s="44" t="s">
        <v>297</v>
      </c>
      <c r="D124" s="21">
        <v>85</v>
      </c>
      <c r="E124" s="21"/>
      <c r="F124" s="21"/>
      <c r="G124" s="21"/>
      <c r="H124" s="21"/>
      <c r="I124" s="21"/>
      <c r="J124" s="21"/>
      <c r="K124" s="21"/>
      <c r="L124" s="21"/>
      <c r="M124" s="21">
        <v>10.867000000000001</v>
      </c>
      <c r="N124" s="45"/>
      <c r="Q124" s="44" t="s">
        <v>297</v>
      </c>
      <c r="R124" s="21">
        <v>85</v>
      </c>
      <c r="S124" s="21"/>
      <c r="T124" s="21"/>
      <c r="U124" s="21"/>
      <c r="V124" s="21"/>
      <c r="W124" s="21"/>
      <c r="X124" s="21"/>
      <c r="Y124" s="21"/>
      <c r="Z124" s="21"/>
      <c r="AA124" s="21">
        <v>39.701999999999998</v>
      </c>
      <c r="AB124" s="45"/>
    </row>
    <row r="125" spans="3:28" x14ac:dyDescent="0.25">
      <c r="C125" s="44" t="s">
        <v>305</v>
      </c>
      <c r="D125" s="21">
        <v>85</v>
      </c>
      <c r="E125" s="21"/>
      <c r="F125" s="21"/>
      <c r="G125" s="21"/>
      <c r="H125" s="21"/>
      <c r="I125" s="21"/>
      <c r="J125" s="21"/>
      <c r="K125" s="21"/>
      <c r="L125" s="21"/>
      <c r="M125" s="21">
        <v>14.968999999999998</v>
      </c>
      <c r="N125" s="45"/>
      <c r="Q125" s="44" t="s">
        <v>305</v>
      </c>
      <c r="R125" s="21">
        <v>85</v>
      </c>
      <c r="S125" s="21"/>
      <c r="T125" s="21"/>
      <c r="U125" s="21"/>
      <c r="V125" s="21"/>
      <c r="W125" s="21"/>
      <c r="X125" s="21"/>
      <c r="Y125" s="21"/>
      <c r="Z125" s="21"/>
      <c r="AA125" s="21">
        <v>67.398499999999999</v>
      </c>
      <c r="AB125" s="45"/>
    </row>
    <row r="126" spans="3:28" x14ac:dyDescent="0.25">
      <c r="C126" s="44" t="s">
        <v>306</v>
      </c>
      <c r="D126" s="21">
        <v>85</v>
      </c>
      <c r="E126" s="21"/>
      <c r="F126" s="21"/>
      <c r="G126" s="21"/>
      <c r="H126" s="21"/>
      <c r="I126" s="21"/>
      <c r="J126" s="21"/>
      <c r="K126" s="21"/>
      <c r="L126" s="21"/>
      <c r="M126" s="21">
        <v>23.798999999999999</v>
      </c>
      <c r="N126" s="45"/>
      <c r="Q126" s="44" t="s">
        <v>306</v>
      </c>
      <c r="R126" s="21">
        <v>85</v>
      </c>
      <c r="S126" s="21"/>
      <c r="T126" s="21"/>
      <c r="U126" s="21"/>
      <c r="V126" s="21"/>
      <c r="W126" s="21"/>
      <c r="X126" s="21"/>
      <c r="Y126" s="21"/>
      <c r="Z126" s="21"/>
      <c r="AA126" s="21">
        <v>33.482999999999997</v>
      </c>
      <c r="AB126" s="45"/>
    </row>
    <row r="127" spans="3:28" x14ac:dyDescent="0.25">
      <c r="C127" s="44" t="s">
        <v>64</v>
      </c>
      <c r="D127" s="21">
        <v>90</v>
      </c>
      <c r="E127" s="21"/>
      <c r="F127" s="21"/>
      <c r="G127" s="21"/>
      <c r="H127" s="21"/>
      <c r="I127" s="21"/>
      <c r="J127" s="21"/>
      <c r="K127" s="21"/>
      <c r="L127" s="21"/>
      <c r="M127" s="21"/>
      <c r="N127" s="45">
        <v>17.266999999999996</v>
      </c>
      <c r="Q127" s="44" t="s">
        <v>64</v>
      </c>
      <c r="R127" s="21">
        <v>90</v>
      </c>
      <c r="S127" s="21"/>
      <c r="T127" s="21"/>
      <c r="U127" s="21"/>
      <c r="V127" s="21"/>
      <c r="W127" s="21"/>
      <c r="X127" s="21"/>
      <c r="Y127" s="21"/>
      <c r="Z127" s="21"/>
      <c r="AA127" s="21"/>
      <c r="AB127" s="45">
        <v>38.899000000000008</v>
      </c>
    </row>
    <row r="128" spans="3:28" x14ac:dyDescent="0.25">
      <c r="C128" s="44" t="s">
        <v>59</v>
      </c>
      <c r="D128" s="21">
        <v>90</v>
      </c>
      <c r="E128" s="21"/>
      <c r="F128" s="21"/>
      <c r="G128" s="21"/>
      <c r="H128" s="21"/>
      <c r="I128" s="21"/>
      <c r="J128" s="21"/>
      <c r="K128" s="21"/>
      <c r="L128" s="21"/>
      <c r="M128" s="21"/>
      <c r="N128" s="45">
        <v>38.783000000000001</v>
      </c>
      <c r="Q128" s="44" t="s">
        <v>59</v>
      </c>
      <c r="R128" s="21">
        <v>90</v>
      </c>
      <c r="S128" s="21"/>
      <c r="T128" s="21"/>
      <c r="U128" s="21"/>
      <c r="V128" s="21"/>
      <c r="W128" s="21"/>
      <c r="X128" s="21"/>
      <c r="Y128" s="21"/>
      <c r="Z128" s="21"/>
      <c r="AA128" s="21"/>
      <c r="AB128" s="45">
        <v>41.783000000000001</v>
      </c>
    </row>
    <row r="129" spans="3:28" x14ac:dyDescent="0.25">
      <c r="C129" s="44" t="s">
        <v>149</v>
      </c>
      <c r="D129" s="21">
        <v>90</v>
      </c>
      <c r="E129" s="21"/>
      <c r="F129" s="21"/>
      <c r="G129" s="21"/>
      <c r="H129" s="21"/>
      <c r="I129" s="21"/>
      <c r="J129" s="21"/>
      <c r="K129" s="21"/>
      <c r="L129" s="21"/>
      <c r="M129" s="21"/>
      <c r="N129" s="45">
        <v>27.166999999999998</v>
      </c>
      <c r="Q129" s="44" t="s">
        <v>149</v>
      </c>
      <c r="R129" s="21">
        <v>90</v>
      </c>
      <c r="S129" s="21"/>
      <c r="T129" s="21"/>
      <c r="U129" s="21"/>
      <c r="V129" s="21"/>
      <c r="W129" s="21"/>
      <c r="X129" s="21"/>
      <c r="Y129" s="21"/>
      <c r="Z129" s="21"/>
      <c r="AA129" s="21"/>
      <c r="AB129" s="45">
        <v>40.149700000000003</v>
      </c>
    </row>
    <row r="130" spans="3:28" x14ac:dyDescent="0.25">
      <c r="C130" s="44" t="s">
        <v>170</v>
      </c>
      <c r="D130" s="21">
        <v>90</v>
      </c>
      <c r="E130" s="21"/>
      <c r="F130" s="21"/>
      <c r="G130" s="21"/>
      <c r="H130" s="21"/>
      <c r="I130" s="21"/>
      <c r="J130" s="21"/>
      <c r="K130" s="21"/>
      <c r="L130" s="21"/>
      <c r="M130" s="21"/>
      <c r="N130" s="45">
        <v>20.2163</v>
      </c>
      <c r="Q130" s="44" t="s">
        <v>170</v>
      </c>
      <c r="R130" s="21">
        <v>90</v>
      </c>
      <c r="S130" s="21"/>
      <c r="T130" s="21"/>
      <c r="U130" s="21"/>
      <c r="V130" s="21"/>
      <c r="W130" s="21"/>
      <c r="X130" s="21"/>
      <c r="Y130" s="21"/>
      <c r="Z130" s="21"/>
      <c r="AA130" s="21"/>
      <c r="AB130" s="45">
        <v>29.700000000000003</v>
      </c>
    </row>
    <row r="131" spans="3:28" ht="15.75" thickBot="1" x14ac:dyDescent="0.3">
      <c r="C131" s="67" t="s">
        <v>189</v>
      </c>
      <c r="D131" s="46">
        <v>90</v>
      </c>
      <c r="E131" s="46"/>
      <c r="F131" s="46"/>
      <c r="G131" s="46"/>
      <c r="H131" s="46"/>
      <c r="I131" s="46"/>
      <c r="J131" s="46"/>
      <c r="K131" s="46"/>
      <c r="L131" s="46"/>
      <c r="M131" s="46"/>
      <c r="N131" s="47">
        <v>17.233000000000001</v>
      </c>
      <c r="Q131" s="67" t="s">
        <v>189</v>
      </c>
      <c r="R131" s="46">
        <v>90</v>
      </c>
      <c r="S131" s="46"/>
      <c r="T131" s="46"/>
      <c r="U131" s="46"/>
      <c r="V131" s="46"/>
      <c r="W131" s="46"/>
      <c r="X131" s="46"/>
      <c r="Y131" s="46"/>
      <c r="Z131" s="46"/>
      <c r="AA131" s="46"/>
      <c r="AB131" s="47">
        <v>26.166</v>
      </c>
    </row>
    <row r="132" spans="3:28" x14ac:dyDescent="0.25">
      <c r="G132" s="21"/>
      <c r="H132" s="21"/>
      <c r="I132" s="21"/>
      <c r="J132" s="21"/>
      <c r="K132" s="21"/>
      <c r="L132" s="21"/>
      <c r="M132" s="21"/>
      <c r="U132" s="21"/>
      <c r="V132" s="21"/>
      <c r="W132" s="21"/>
      <c r="X132" s="21"/>
      <c r="Y132" s="21"/>
      <c r="Z132" s="21"/>
      <c r="AA132" s="21"/>
    </row>
    <row r="133" spans="3:28" x14ac:dyDescent="0.25">
      <c r="U133" s="21"/>
      <c r="V133" s="21"/>
      <c r="W133" s="21"/>
      <c r="X133" s="21"/>
      <c r="Y133" s="21"/>
      <c r="Z133" s="21"/>
      <c r="AA133" s="21"/>
    </row>
  </sheetData>
  <sortState columnSort="1" ref="E27:CN30">
    <sortCondition ref="E28:CN28"/>
  </sortState>
  <mergeCells count="6">
    <mergeCell ref="A1:A34"/>
    <mergeCell ref="C24:I24"/>
    <mergeCell ref="K24:Q24"/>
    <mergeCell ref="D26:F26"/>
    <mergeCell ref="Q42:AB42"/>
    <mergeCell ref="C42:N42"/>
  </mergeCells>
  <pageMargins left="0.7" right="0.7" top="0.75" bottom="0.75" header="0.3" footer="0.3"/>
  <pageSetup orientation="portrait" horizontalDpi="4294967293"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5"/>
  <sheetViews>
    <sheetView workbookViewId="0">
      <selection activeCell="O14" sqref="O14"/>
    </sheetView>
  </sheetViews>
  <sheetFormatPr defaultRowHeight="15" x14ac:dyDescent="0.25"/>
  <cols>
    <col min="2" max="13" width="7.28515625" customWidth="1"/>
    <col min="258" max="269" width="7.28515625" customWidth="1"/>
    <col min="514" max="525" width="7.28515625" customWidth="1"/>
    <col min="770" max="781" width="7.28515625" customWidth="1"/>
    <col min="1026" max="1037" width="7.28515625" customWidth="1"/>
    <col min="1282" max="1293" width="7.28515625" customWidth="1"/>
    <col min="1538" max="1549" width="7.28515625" customWidth="1"/>
    <col min="1794" max="1805" width="7.28515625" customWidth="1"/>
    <col min="2050" max="2061" width="7.28515625" customWidth="1"/>
    <col min="2306" max="2317" width="7.28515625" customWidth="1"/>
    <col min="2562" max="2573" width="7.28515625" customWidth="1"/>
    <col min="2818" max="2829" width="7.28515625" customWidth="1"/>
    <col min="3074" max="3085" width="7.28515625" customWidth="1"/>
    <col min="3330" max="3341" width="7.28515625" customWidth="1"/>
    <col min="3586" max="3597" width="7.28515625" customWidth="1"/>
    <col min="3842" max="3853" width="7.28515625" customWidth="1"/>
    <col min="4098" max="4109" width="7.28515625" customWidth="1"/>
    <col min="4354" max="4365" width="7.28515625" customWidth="1"/>
    <col min="4610" max="4621" width="7.28515625" customWidth="1"/>
    <col min="4866" max="4877" width="7.28515625" customWidth="1"/>
    <col min="5122" max="5133" width="7.28515625" customWidth="1"/>
    <col min="5378" max="5389" width="7.28515625" customWidth="1"/>
    <col min="5634" max="5645" width="7.28515625" customWidth="1"/>
    <col min="5890" max="5901" width="7.28515625" customWidth="1"/>
    <col min="6146" max="6157" width="7.28515625" customWidth="1"/>
    <col min="6402" max="6413" width="7.28515625" customWidth="1"/>
    <col min="6658" max="6669" width="7.28515625" customWidth="1"/>
    <col min="6914" max="6925" width="7.28515625" customWidth="1"/>
    <col min="7170" max="7181" width="7.28515625" customWidth="1"/>
    <col min="7426" max="7437" width="7.28515625" customWidth="1"/>
    <col min="7682" max="7693" width="7.28515625" customWidth="1"/>
    <col min="7938" max="7949" width="7.28515625" customWidth="1"/>
    <col min="8194" max="8205" width="7.28515625" customWidth="1"/>
    <col min="8450" max="8461" width="7.28515625" customWidth="1"/>
    <col min="8706" max="8717" width="7.28515625" customWidth="1"/>
    <col min="8962" max="8973" width="7.28515625" customWidth="1"/>
    <col min="9218" max="9229" width="7.28515625" customWidth="1"/>
    <col min="9474" max="9485" width="7.28515625" customWidth="1"/>
    <col min="9730" max="9741" width="7.28515625" customWidth="1"/>
    <col min="9986" max="9997" width="7.28515625" customWidth="1"/>
    <col min="10242" max="10253" width="7.28515625" customWidth="1"/>
    <col min="10498" max="10509" width="7.28515625" customWidth="1"/>
    <col min="10754" max="10765" width="7.28515625" customWidth="1"/>
    <col min="11010" max="11021" width="7.28515625" customWidth="1"/>
    <col min="11266" max="11277" width="7.28515625" customWidth="1"/>
    <col min="11522" max="11533" width="7.28515625" customWidth="1"/>
    <col min="11778" max="11789" width="7.28515625" customWidth="1"/>
    <col min="12034" max="12045" width="7.28515625" customWidth="1"/>
    <col min="12290" max="12301" width="7.28515625" customWidth="1"/>
    <col min="12546" max="12557" width="7.28515625" customWidth="1"/>
    <col min="12802" max="12813" width="7.28515625" customWidth="1"/>
    <col min="13058" max="13069" width="7.28515625" customWidth="1"/>
    <col min="13314" max="13325" width="7.28515625" customWidth="1"/>
    <col min="13570" max="13581" width="7.28515625" customWidth="1"/>
    <col min="13826" max="13837" width="7.28515625" customWidth="1"/>
    <col min="14082" max="14093" width="7.28515625" customWidth="1"/>
    <col min="14338" max="14349" width="7.28515625" customWidth="1"/>
    <col min="14594" max="14605" width="7.28515625" customWidth="1"/>
    <col min="14850" max="14861" width="7.28515625" customWidth="1"/>
    <col min="15106" max="15117" width="7.28515625" customWidth="1"/>
    <col min="15362" max="15373" width="7.28515625" customWidth="1"/>
    <col min="15618" max="15629" width="7.28515625" customWidth="1"/>
    <col min="15874" max="15885" width="7.28515625" customWidth="1"/>
    <col min="16130" max="16141" width="7.28515625" customWidth="1"/>
  </cols>
  <sheetData>
    <row r="1" spans="1:13" ht="15.75" x14ac:dyDescent="0.25">
      <c r="A1" s="48" t="s">
        <v>110</v>
      </c>
    </row>
    <row r="3" spans="1:13" x14ac:dyDescent="0.25">
      <c r="A3" t="s">
        <v>111</v>
      </c>
      <c r="B3">
        <v>0.25</v>
      </c>
      <c r="C3" s="9">
        <v>0.2</v>
      </c>
      <c r="D3">
        <v>0.15</v>
      </c>
      <c r="E3" s="9">
        <v>0.1</v>
      </c>
      <c r="F3">
        <v>0.05</v>
      </c>
      <c r="G3">
        <v>2.5000000000000001E-2</v>
      </c>
      <c r="H3">
        <v>0.02</v>
      </c>
      <c r="I3">
        <v>0.01</v>
      </c>
      <c r="J3">
        <v>5.0000000000000001E-3</v>
      </c>
      <c r="K3">
        <v>2.5000000000000001E-3</v>
      </c>
      <c r="L3">
        <v>1E-3</v>
      </c>
      <c r="M3">
        <v>5.0000000000000001E-4</v>
      </c>
    </row>
    <row r="4" spans="1:13" x14ac:dyDescent="0.25">
      <c r="A4" t="s">
        <v>112</v>
      </c>
      <c r="B4">
        <f>2*B3</f>
        <v>0.5</v>
      </c>
      <c r="C4" s="9">
        <f t="shared" ref="C4:M4" si="0">2*C3</f>
        <v>0.4</v>
      </c>
      <c r="D4" s="9">
        <f t="shared" si="0"/>
        <v>0.3</v>
      </c>
      <c r="E4" s="9">
        <f t="shared" si="0"/>
        <v>0.2</v>
      </c>
      <c r="F4" s="9">
        <f t="shared" si="0"/>
        <v>0.1</v>
      </c>
      <c r="G4">
        <f t="shared" si="0"/>
        <v>0.05</v>
      </c>
      <c r="H4">
        <f t="shared" si="0"/>
        <v>0.04</v>
      </c>
      <c r="I4">
        <f t="shared" si="0"/>
        <v>0.02</v>
      </c>
      <c r="J4" s="35">
        <f t="shared" si="0"/>
        <v>0.01</v>
      </c>
      <c r="K4" s="49">
        <f t="shared" si="0"/>
        <v>5.0000000000000001E-3</v>
      </c>
      <c r="L4">
        <f t="shared" si="0"/>
        <v>2E-3</v>
      </c>
      <c r="M4" s="49">
        <f t="shared" si="0"/>
        <v>1E-3</v>
      </c>
    </row>
    <row r="5" spans="1:13" x14ac:dyDescent="0.25">
      <c r="A5" s="1" t="s">
        <v>86</v>
      </c>
    </row>
    <row r="6" spans="1:13" x14ac:dyDescent="0.25">
      <c r="A6" s="1">
        <v>1</v>
      </c>
      <c r="B6" s="35">
        <f t="shared" ref="B6:M25" si="1">TINV(B$4,$A6)</f>
        <v>1</v>
      </c>
      <c r="C6" s="35">
        <f t="shared" si="1"/>
        <v>1.3763819204711736</v>
      </c>
      <c r="D6" s="35">
        <f t="shared" si="1"/>
        <v>1.9626105055051506</v>
      </c>
      <c r="E6" s="35">
        <f t="shared" si="1"/>
        <v>3.077683537175254</v>
      </c>
      <c r="F6" s="35">
        <f t="shared" si="1"/>
        <v>6.3137515146750438</v>
      </c>
      <c r="G6" s="35">
        <f t="shared" si="1"/>
        <v>12.706204736174707</v>
      </c>
      <c r="H6" s="35">
        <f t="shared" si="1"/>
        <v>15.894544843865303</v>
      </c>
      <c r="I6" s="35">
        <f t="shared" si="1"/>
        <v>31.820515953773956</v>
      </c>
      <c r="J6" s="35">
        <f t="shared" si="1"/>
        <v>63.656741162871583</v>
      </c>
      <c r="K6" s="35">
        <f t="shared" si="1"/>
        <v>127.32133646887215</v>
      </c>
      <c r="L6" s="35">
        <v>318.28899999999999</v>
      </c>
      <c r="M6" s="35">
        <v>636.55799999999999</v>
      </c>
    </row>
    <row r="7" spans="1:13" x14ac:dyDescent="0.25">
      <c r="A7" s="1">
        <v>2</v>
      </c>
      <c r="B7" s="35">
        <f t="shared" si="1"/>
        <v>0.81649658092772592</v>
      </c>
      <c r="C7" s="35">
        <f t="shared" si="1"/>
        <v>1.0606601717798212</v>
      </c>
      <c r="D7" s="35">
        <f t="shared" si="1"/>
        <v>1.3862065601673439</v>
      </c>
      <c r="E7" s="35">
        <f t="shared" si="1"/>
        <v>1.8856180831641267</v>
      </c>
      <c r="F7" s="35">
        <f t="shared" si="1"/>
        <v>2.9199855803537269</v>
      </c>
      <c r="G7" s="35">
        <f t="shared" si="1"/>
        <v>4.3026527297494637</v>
      </c>
      <c r="H7" s="35">
        <f t="shared" si="1"/>
        <v>4.8487322138506119</v>
      </c>
      <c r="I7" s="35">
        <f t="shared" si="1"/>
        <v>6.9645567342832733</v>
      </c>
      <c r="J7" s="35">
        <f t="shared" si="1"/>
        <v>9.9248432009182928</v>
      </c>
      <c r="K7" s="35">
        <f t="shared" si="1"/>
        <v>14.089047275555295</v>
      </c>
      <c r="L7" s="35">
        <f t="shared" si="1"/>
        <v>22.327124770119873</v>
      </c>
      <c r="M7" s="35">
        <v>31.6</v>
      </c>
    </row>
    <row r="8" spans="1:13" x14ac:dyDescent="0.25">
      <c r="A8" s="1">
        <v>3</v>
      </c>
      <c r="B8" s="35">
        <f t="shared" si="1"/>
        <v>0.76489232840434507</v>
      </c>
      <c r="C8" s="35">
        <f t="shared" si="1"/>
        <v>0.97847231236330467</v>
      </c>
      <c r="D8" s="35">
        <f t="shared" si="1"/>
        <v>1.2497781050332251</v>
      </c>
      <c r="E8" s="35">
        <f t="shared" si="1"/>
        <v>1.63774435369621</v>
      </c>
      <c r="F8" s="35">
        <f t="shared" si="1"/>
        <v>2.3533634348018233</v>
      </c>
      <c r="G8" s="35">
        <f t="shared" si="1"/>
        <v>3.1824463052837091</v>
      </c>
      <c r="H8" s="35">
        <f t="shared" si="1"/>
        <v>3.4819087603212133</v>
      </c>
      <c r="I8" s="35">
        <f t="shared" si="1"/>
        <v>4.5407028585681335</v>
      </c>
      <c r="J8" s="35">
        <f t="shared" si="1"/>
        <v>5.8409093097333571</v>
      </c>
      <c r="K8" s="35">
        <f t="shared" si="1"/>
        <v>7.4533185051506248</v>
      </c>
      <c r="L8" s="35">
        <f t="shared" si="1"/>
        <v>10.214531852407385</v>
      </c>
      <c r="M8" s="35">
        <f t="shared" si="1"/>
        <v>12.923978636687485</v>
      </c>
    </row>
    <row r="9" spans="1:13" x14ac:dyDescent="0.25">
      <c r="A9" s="1">
        <v>4</v>
      </c>
      <c r="B9" s="35">
        <f t="shared" si="1"/>
        <v>0.74069708411268287</v>
      </c>
      <c r="C9" s="35">
        <f t="shared" si="1"/>
        <v>0.94096457723518057</v>
      </c>
      <c r="D9" s="35">
        <f t="shared" si="1"/>
        <v>1.189566852443694</v>
      </c>
      <c r="E9" s="35">
        <f t="shared" si="1"/>
        <v>1.5332062740589443</v>
      </c>
      <c r="F9" s="35">
        <f t="shared" si="1"/>
        <v>2.1318467863266499</v>
      </c>
      <c r="G9" s="35">
        <f t="shared" si="1"/>
        <v>2.7764451051977934</v>
      </c>
      <c r="H9" s="35">
        <f t="shared" si="1"/>
        <v>2.9985278732065863</v>
      </c>
      <c r="I9" s="35">
        <f t="shared" si="1"/>
        <v>3.7469473879791968</v>
      </c>
      <c r="J9" s="35">
        <f t="shared" si="1"/>
        <v>4.604094871349993</v>
      </c>
      <c r="K9" s="35">
        <f t="shared" si="1"/>
        <v>5.5975683670754597</v>
      </c>
      <c r="L9" s="35">
        <f t="shared" si="1"/>
        <v>7.1731822197823085</v>
      </c>
      <c r="M9" s="35">
        <f t="shared" si="1"/>
        <v>8.6103015813792751</v>
      </c>
    </row>
    <row r="10" spans="1:13" x14ac:dyDescent="0.25">
      <c r="A10" s="50">
        <v>5</v>
      </c>
      <c r="B10" s="51">
        <f t="shared" si="1"/>
        <v>0.72668684380042159</v>
      </c>
      <c r="C10" s="51">
        <f t="shared" si="1"/>
        <v>0.91954378024082584</v>
      </c>
      <c r="D10" s="51">
        <f t="shared" si="1"/>
        <v>1.1557673428942929</v>
      </c>
      <c r="E10" s="51">
        <f t="shared" si="1"/>
        <v>1.4758840488244813</v>
      </c>
      <c r="F10" s="51">
        <f t="shared" si="1"/>
        <v>2.0150483733330233</v>
      </c>
      <c r="G10" s="51">
        <f t="shared" si="1"/>
        <v>2.570581835636315</v>
      </c>
      <c r="H10" s="51">
        <f t="shared" si="1"/>
        <v>2.7565085219094745</v>
      </c>
      <c r="I10" s="51">
        <f t="shared" si="1"/>
        <v>3.3649299989072183</v>
      </c>
      <c r="J10" s="51">
        <f t="shared" si="1"/>
        <v>4.0321429835552278</v>
      </c>
      <c r="K10" s="51">
        <f t="shared" si="1"/>
        <v>4.7733406048555223</v>
      </c>
      <c r="L10" s="51">
        <f t="shared" si="1"/>
        <v>5.893429531356011</v>
      </c>
      <c r="M10" s="51">
        <f t="shared" si="1"/>
        <v>6.8688266258811099</v>
      </c>
    </row>
    <row r="11" spans="1:13" x14ac:dyDescent="0.25">
      <c r="A11" s="1">
        <v>6</v>
      </c>
      <c r="B11" s="35">
        <f t="shared" si="1"/>
        <v>0.71755819649141217</v>
      </c>
      <c r="C11" s="35">
        <f t="shared" si="1"/>
        <v>0.905703285180531</v>
      </c>
      <c r="D11" s="35">
        <f t="shared" si="1"/>
        <v>1.1341569306757562</v>
      </c>
      <c r="E11" s="35">
        <f t="shared" si="1"/>
        <v>1.4397557472651481</v>
      </c>
      <c r="F11" s="35">
        <f t="shared" si="1"/>
        <v>1.9431802805153031</v>
      </c>
      <c r="G11" s="35">
        <f t="shared" si="1"/>
        <v>2.4469118511449697</v>
      </c>
      <c r="H11" s="35">
        <f t="shared" si="1"/>
        <v>2.6122418470612994</v>
      </c>
      <c r="I11" s="35">
        <f t="shared" si="1"/>
        <v>3.1426684032909828</v>
      </c>
      <c r="J11" s="35">
        <f t="shared" si="1"/>
        <v>3.7074280213247794</v>
      </c>
      <c r="K11" s="35">
        <f t="shared" si="1"/>
        <v>4.3168271036333739</v>
      </c>
      <c r="L11" s="35">
        <f t="shared" si="1"/>
        <v>5.2076262387253633</v>
      </c>
      <c r="M11" s="35">
        <f t="shared" si="1"/>
        <v>5.9588161788187586</v>
      </c>
    </row>
    <row r="12" spans="1:13" x14ac:dyDescent="0.25">
      <c r="A12" s="1">
        <v>7</v>
      </c>
      <c r="B12" s="35">
        <f t="shared" si="1"/>
        <v>0.71114177808178591</v>
      </c>
      <c r="C12" s="35">
        <f t="shared" si="1"/>
        <v>0.89602964431376519</v>
      </c>
      <c r="D12" s="35">
        <f t="shared" si="1"/>
        <v>1.1191591283613647</v>
      </c>
      <c r="E12" s="35">
        <f t="shared" si="1"/>
        <v>1.4149239276505079</v>
      </c>
      <c r="F12" s="35">
        <f t="shared" si="1"/>
        <v>1.8945786050900073</v>
      </c>
      <c r="G12" s="35">
        <f t="shared" si="1"/>
        <v>2.3646242515927849</v>
      </c>
      <c r="H12" s="35">
        <f t="shared" si="1"/>
        <v>2.5167524241332706</v>
      </c>
      <c r="I12" s="35">
        <f t="shared" si="1"/>
        <v>2.997951566868529</v>
      </c>
      <c r="J12" s="35">
        <f t="shared" si="1"/>
        <v>3.4994832973504946</v>
      </c>
      <c r="K12" s="35">
        <f t="shared" si="1"/>
        <v>4.0293371776424847</v>
      </c>
      <c r="L12" s="35">
        <f t="shared" si="1"/>
        <v>4.785289628638334</v>
      </c>
      <c r="M12" s="35">
        <f t="shared" si="1"/>
        <v>5.4078825208617252</v>
      </c>
    </row>
    <row r="13" spans="1:13" x14ac:dyDescent="0.25">
      <c r="A13" s="1">
        <v>8</v>
      </c>
      <c r="B13" s="35">
        <f t="shared" si="1"/>
        <v>0.70638661264483749</v>
      </c>
      <c r="C13" s="35">
        <f t="shared" si="1"/>
        <v>0.88888951776701974</v>
      </c>
      <c r="D13" s="35">
        <f t="shared" si="1"/>
        <v>1.1081454445582559</v>
      </c>
      <c r="E13" s="35">
        <f t="shared" si="1"/>
        <v>1.3968153097438645</v>
      </c>
      <c r="F13" s="35">
        <f t="shared" si="1"/>
        <v>1.8595480375308981</v>
      </c>
      <c r="G13" s="35">
        <f t="shared" si="1"/>
        <v>2.3060041352041671</v>
      </c>
      <c r="H13" s="35">
        <f t="shared" si="1"/>
        <v>2.4489849896407789</v>
      </c>
      <c r="I13" s="35">
        <f t="shared" si="1"/>
        <v>2.8964594477096224</v>
      </c>
      <c r="J13" s="35">
        <f t="shared" si="1"/>
        <v>3.3553873313333953</v>
      </c>
      <c r="K13" s="35">
        <f t="shared" si="1"/>
        <v>3.8325186853443429</v>
      </c>
      <c r="L13" s="35">
        <f t="shared" si="1"/>
        <v>4.5007909337237244</v>
      </c>
      <c r="M13" s="35">
        <f t="shared" si="1"/>
        <v>5.0413054333733669</v>
      </c>
    </row>
    <row r="14" spans="1:13" x14ac:dyDescent="0.25">
      <c r="A14" s="1">
        <v>9</v>
      </c>
      <c r="B14" s="35">
        <f t="shared" si="1"/>
        <v>0.70272214675132494</v>
      </c>
      <c r="C14" s="35">
        <f t="shared" si="1"/>
        <v>0.8834038596855347</v>
      </c>
      <c r="D14" s="35">
        <f t="shared" si="1"/>
        <v>1.0997161963946571</v>
      </c>
      <c r="E14" s="35">
        <f t="shared" si="1"/>
        <v>1.383028738396632</v>
      </c>
      <c r="F14" s="35">
        <f t="shared" si="1"/>
        <v>1.8331129326562374</v>
      </c>
      <c r="G14" s="35">
        <f t="shared" si="1"/>
        <v>2.2621571627982053</v>
      </c>
      <c r="H14" s="35">
        <f t="shared" si="1"/>
        <v>2.3984409848565069</v>
      </c>
      <c r="I14" s="35">
        <f t="shared" si="1"/>
        <v>2.8214379250258084</v>
      </c>
      <c r="J14" s="35">
        <f t="shared" si="1"/>
        <v>3.2498355415921263</v>
      </c>
      <c r="K14" s="35">
        <f t="shared" si="1"/>
        <v>3.6896623923042302</v>
      </c>
      <c r="L14" s="35">
        <f t="shared" si="1"/>
        <v>4.2968056627299189</v>
      </c>
      <c r="M14" s="35">
        <f t="shared" si="1"/>
        <v>4.7809125859311381</v>
      </c>
    </row>
    <row r="15" spans="1:13" x14ac:dyDescent="0.25">
      <c r="A15" s="50">
        <v>10</v>
      </c>
      <c r="B15" s="51">
        <f t="shared" si="1"/>
        <v>0.69981206131243168</v>
      </c>
      <c r="C15" s="51">
        <f t="shared" si="1"/>
        <v>0.87905782855058789</v>
      </c>
      <c r="D15" s="51">
        <f t="shared" si="1"/>
        <v>1.0930580735905258</v>
      </c>
      <c r="E15" s="51">
        <f t="shared" si="1"/>
        <v>1.3721836411103363</v>
      </c>
      <c r="F15" s="51">
        <f t="shared" si="1"/>
        <v>1.812461122811676</v>
      </c>
      <c r="G15" s="51">
        <f t="shared" si="1"/>
        <v>2.2281388519862744</v>
      </c>
      <c r="H15" s="51">
        <f t="shared" si="1"/>
        <v>2.3593146237365366</v>
      </c>
      <c r="I15" s="51">
        <f t="shared" si="1"/>
        <v>2.7637694581126966</v>
      </c>
      <c r="J15" s="51">
        <f t="shared" si="1"/>
        <v>3.1692726726169518</v>
      </c>
      <c r="K15" s="51">
        <f t="shared" si="1"/>
        <v>3.5814062020906565</v>
      </c>
      <c r="L15" s="51">
        <f t="shared" si="1"/>
        <v>4.1437004940465902</v>
      </c>
      <c r="M15" s="51">
        <f t="shared" si="1"/>
        <v>4.586893858702636</v>
      </c>
    </row>
    <row r="16" spans="1:13" x14ac:dyDescent="0.25">
      <c r="A16" s="1">
        <v>11</v>
      </c>
      <c r="B16" s="35">
        <f t="shared" si="1"/>
        <v>0.69744532755988053</v>
      </c>
      <c r="C16" s="35">
        <f t="shared" si="1"/>
        <v>0.87552997807388222</v>
      </c>
      <c r="D16" s="35">
        <f t="shared" si="1"/>
        <v>1.0876663803503823</v>
      </c>
      <c r="E16" s="35">
        <f t="shared" si="1"/>
        <v>1.3634303180205409</v>
      </c>
      <c r="F16" s="35">
        <f t="shared" si="1"/>
        <v>1.7958848187040437</v>
      </c>
      <c r="G16" s="35">
        <f t="shared" si="1"/>
        <v>2.2009851600916384</v>
      </c>
      <c r="H16" s="35">
        <f t="shared" si="1"/>
        <v>2.3281398334814627</v>
      </c>
      <c r="I16" s="35">
        <f t="shared" si="1"/>
        <v>2.7180791838138614</v>
      </c>
      <c r="J16" s="35">
        <f t="shared" si="1"/>
        <v>3.1058065155392809</v>
      </c>
      <c r="K16" s="35">
        <f t="shared" si="1"/>
        <v>3.4966141732536715</v>
      </c>
      <c r="L16" s="35">
        <f t="shared" si="1"/>
        <v>4.0247010376307388</v>
      </c>
      <c r="M16" s="35">
        <f t="shared" si="1"/>
        <v>4.4369793382344493</v>
      </c>
    </row>
    <row r="17" spans="1:13" x14ac:dyDescent="0.25">
      <c r="A17" s="1">
        <v>12</v>
      </c>
      <c r="B17" s="35">
        <f t="shared" si="1"/>
        <v>0.69548286551179161</v>
      </c>
      <c r="C17" s="35">
        <f t="shared" si="1"/>
        <v>0.87260929158813794</v>
      </c>
      <c r="D17" s="35">
        <f t="shared" si="1"/>
        <v>1.0832114204565071</v>
      </c>
      <c r="E17" s="35">
        <f t="shared" si="1"/>
        <v>1.3562173340232047</v>
      </c>
      <c r="F17" s="35">
        <f t="shared" si="1"/>
        <v>1.7822875556493194</v>
      </c>
      <c r="G17" s="35">
        <f t="shared" si="1"/>
        <v>2.1788128296672284</v>
      </c>
      <c r="H17" s="35">
        <f t="shared" si="1"/>
        <v>2.3027216838060847</v>
      </c>
      <c r="I17" s="35">
        <f t="shared" si="1"/>
        <v>2.6809979931209149</v>
      </c>
      <c r="J17" s="35">
        <f t="shared" si="1"/>
        <v>3.0545395893929017</v>
      </c>
      <c r="K17" s="35">
        <f t="shared" si="1"/>
        <v>3.4284442422922528</v>
      </c>
      <c r="L17" s="35">
        <f t="shared" si="1"/>
        <v>3.9296332646264918</v>
      </c>
      <c r="M17" s="35">
        <f t="shared" si="1"/>
        <v>4.3177912836061845</v>
      </c>
    </row>
    <row r="18" spans="1:13" x14ac:dyDescent="0.25">
      <c r="A18" s="1">
        <v>13</v>
      </c>
      <c r="B18" s="35">
        <f t="shared" si="1"/>
        <v>0.69382930423544042</v>
      </c>
      <c r="C18" s="35">
        <f t="shared" si="1"/>
        <v>0.87015153396817235</v>
      </c>
      <c r="D18" s="35">
        <f t="shared" si="1"/>
        <v>1.0794687370358969</v>
      </c>
      <c r="E18" s="35">
        <f t="shared" si="1"/>
        <v>1.3501712887800554</v>
      </c>
      <c r="F18" s="35">
        <f t="shared" si="1"/>
        <v>1.7709333959868729</v>
      </c>
      <c r="G18" s="35">
        <f t="shared" si="1"/>
        <v>2.1603686564627926</v>
      </c>
      <c r="H18" s="35">
        <f t="shared" si="1"/>
        <v>2.2816035637426531</v>
      </c>
      <c r="I18" s="35">
        <f t="shared" si="1"/>
        <v>2.650308837912192</v>
      </c>
      <c r="J18" s="35">
        <f t="shared" si="1"/>
        <v>3.0122758387165782</v>
      </c>
      <c r="K18" s="35">
        <f t="shared" si="1"/>
        <v>3.3724679410109792</v>
      </c>
      <c r="L18" s="35">
        <f t="shared" si="1"/>
        <v>3.8519823911683879</v>
      </c>
      <c r="M18" s="35">
        <f t="shared" si="1"/>
        <v>4.2208317277071208</v>
      </c>
    </row>
    <row r="19" spans="1:13" x14ac:dyDescent="0.25">
      <c r="A19" s="1">
        <v>14</v>
      </c>
      <c r="B19" s="35">
        <f t="shared" si="1"/>
        <v>0.69241706957000537</v>
      </c>
      <c r="C19" s="35">
        <f t="shared" si="1"/>
        <v>0.86805478155742033</v>
      </c>
      <c r="D19" s="35">
        <f t="shared" si="1"/>
        <v>1.0762802445838149</v>
      </c>
      <c r="E19" s="35">
        <f t="shared" si="1"/>
        <v>1.3450303744546506</v>
      </c>
      <c r="F19" s="35">
        <f t="shared" si="1"/>
        <v>1.7613101357748921</v>
      </c>
      <c r="G19" s="35">
        <f t="shared" si="1"/>
        <v>2.1447866879178044</v>
      </c>
      <c r="H19" s="35">
        <f t="shared" si="1"/>
        <v>2.2637812790119072</v>
      </c>
      <c r="I19" s="35">
        <f t="shared" si="1"/>
        <v>2.6244940675900517</v>
      </c>
      <c r="J19" s="35">
        <f t="shared" si="1"/>
        <v>2.9768427343708348</v>
      </c>
      <c r="K19" s="35">
        <f t="shared" si="1"/>
        <v>3.3256958178380245</v>
      </c>
      <c r="L19" s="35">
        <f t="shared" si="1"/>
        <v>3.7873902375233461</v>
      </c>
      <c r="M19" s="35">
        <f t="shared" si="1"/>
        <v>4.1404541127382029</v>
      </c>
    </row>
    <row r="20" spans="1:13" x14ac:dyDescent="0.25">
      <c r="A20" s="50">
        <v>15</v>
      </c>
      <c r="B20" s="51">
        <f t="shared" si="1"/>
        <v>0.6911969489584906</v>
      </c>
      <c r="C20" s="51">
        <f t="shared" si="1"/>
        <v>0.86624497319495286</v>
      </c>
      <c r="D20" s="51">
        <f t="shared" si="1"/>
        <v>1.0735313955824206</v>
      </c>
      <c r="E20" s="51">
        <f t="shared" si="1"/>
        <v>1.3406056078504547</v>
      </c>
      <c r="F20" s="51">
        <f t="shared" si="1"/>
        <v>1.7530503556925723</v>
      </c>
      <c r="G20" s="51">
        <f t="shared" si="1"/>
        <v>2.1314495455597742</v>
      </c>
      <c r="H20" s="51">
        <f t="shared" si="1"/>
        <v>2.2485402916106652</v>
      </c>
      <c r="I20" s="51">
        <f t="shared" si="1"/>
        <v>2.6024802950111221</v>
      </c>
      <c r="J20" s="51">
        <f t="shared" si="1"/>
        <v>2.9467128834752381</v>
      </c>
      <c r="K20" s="51">
        <f t="shared" si="1"/>
        <v>3.2860385709462228</v>
      </c>
      <c r="L20" s="51">
        <f t="shared" si="1"/>
        <v>3.7328344253108998</v>
      </c>
      <c r="M20" s="51">
        <f t="shared" si="1"/>
        <v>4.0727651959037905</v>
      </c>
    </row>
    <row r="21" spans="1:13" x14ac:dyDescent="0.25">
      <c r="A21" s="1">
        <v>16</v>
      </c>
      <c r="B21" s="35">
        <f t="shared" si="1"/>
        <v>0.69013225381055954</v>
      </c>
      <c r="C21" s="35">
        <f t="shared" si="1"/>
        <v>0.86466700179829137</v>
      </c>
      <c r="D21" s="35">
        <f t="shared" si="1"/>
        <v>1.071137163284315</v>
      </c>
      <c r="E21" s="35">
        <f t="shared" si="1"/>
        <v>1.3367571673273144</v>
      </c>
      <c r="F21" s="35">
        <f t="shared" si="1"/>
        <v>1.7458836762762506</v>
      </c>
      <c r="G21" s="35">
        <f t="shared" si="1"/>
        <v>2.119905299221255</v>
      </c>
      <c r="H21" s="35">
        <f t="shared" si="1"/>
        <v>2.2353584305308405</v>
      </c>
      <c r="I21" s="35">
        <f t="shared" si="1"/>
        <v>2.5834871852759917</v>
      </c>
      <c r="J21" s="35">
        <f t="shared" si="1"/>
        <v>2.9207816224251002</v>
      </c>
      <c r="K21" s="35">
        <f t="shared" si="1"/>
        <v>3.2519928743828799</v>
      </c>
      <c r="L21" s="35">
        <f t="shared" si="1"/>
        <v>3.6861547926860139</v>
      </c>
      <c r="M21" s="35">
        <f t="shared" si="1"/>
        <v>4.0149963271840559</v>
      </c>
    </row>
    <row r="22" spans="1:13" x14ac:dyDescent="0.25">
      <c r="A22" s="1">
        <v>17</v>
      </c>
      <c r="B22" s="35">
        <f t="shared" si="1"/>
        <v>0.68919507515393985</v>
      </c>
      <c r="C22" s="35">
        <f t="shared" si="1"/>
        <v>0.86327901742005297</v>
      </c>
      <c r="D22" s="35">
        <f t="shared" si="1"/>
        <v>1.0690331106211022</v>
      </c>
      <c r="E22" s="35">
        <f t="shared" si="1"/>
        <v>1.3333793897216262</v>
      </c>
      <c r="F22" s="35">
        <f t="shared" si="1"/>
        <v>1.7396067260750732</v>
      </c>
      <c r="G22" s="35">
        <f t="shared" si="1"/>
        <v>2.109815577833317</v>
      </c>
      <c r="H22" s="35">
        <f t="shared" si="1"/>
        <v>2.2238453075168199</v>
      </c>
      <c r="I22" s="35">
        <f t="shared" si="1"/>
        <v>2.5669339837247178</v>
      </c>
      <c r="J22" s="35">
        <f t="shared" si="1"/>
        <v>2.8982305196774178</v>
      </c>
      <c r="K22" s="35">
        <f t="shared" si="1"/>
        <v>3.2224499113574638</v>
      </c>
      <c r="L22" s="35">
        <f t="shared" si="1"/>
        <v>3.6457673800784094</v>
      </c>
      <c r="M22" s="35">
        <f t="shared" si="1"/>
        <v>3.9651262721190315</v>
      </c>
    </row>
    <row r="23" spans="1:13" x14ac:dyDescent="0.25">
      <c r="A23" s="1">
        <v>18</v>
      </c>
      <c r="B23" s="35">
        <f t="shared" si="1"/>
        <v>0.68836380646620021</v>
      </c>
      <c r="C23" s="35">
        <f t="shared" si="1"/>
        <v>0.86204866798959834</v>
      </c>
      <c r="D23" s="35">
        <f t="shared" si="1"/>
        <v>1.0671695155355498</v>
      </c>
      <c r="E23" s="35">
        <f t="shared" si="1"/>
        <v>1.3303909435699084</v>
      </c>
      <c r="F23" s="35">
        <f t="shared" si="1"/>
        <v>1.7340636066175394</v>
      </c>
      <c r="G23" s="35">
        <f t="shared" si="1"/>
        <v>2.1009220402410378</v>
      </c>
      <c r="H23" s="35">
        <f t="shared" si="1"/>
        <v>2.213703251593806</v>
      </c>
      <c r="I23" s="35">
        <f t="shared" si="1"/>
        <v>2.552379630182251</v>
      </c>
      <c r="J23" s="35">
        <f t="shared" si="1"/>
        <v>2.8784404727386073</v>
      </c>
      <c r="K23" s="35">
        <f t="shared" si="1"/>
        <v>3.19657422225522</v>
      </c>
      <c r="L23" s="35">
        <f t="shared" si="1"/>
        <v>3.6104848848250937</v>
      </c>
      <c r="M23" s="35">
        <f t="shared" si="1"/>
        <v>3.9216458250851596</v>
      </c>
    </row>
    <row r="24" spans="1:13" x14ac:dyDescent="0.25">
      <c r="A24" s="1">
        <v>19</v>
      </c>
      <c r="B24" s="35">
        <f t="shared" si="1"/>
        <v>0.68762146020395809</v>
      </c>
      <c r="C24" s="35">
        <f t="shared" si="1"/>
        <v>0.86095055026892919</v>
      </c>
      <c r="D24" s="35">
        <f t="shared" si="1"/>
        <v>1.0655073985870127</v>
      </c>
      <c r="E24" s="35">
        <f t="shared" si="1"/>
        <v>1.3277282090267981</v>
      </c>
      <c r="F24" s="35">
        <f t="shared" si="1"/>
        <v>1.7291328115213698</v>
      </c>
      <c r="G24" s="35">
        <f t="shared" si="1"/>
        <v>2.0930240544083096</v>
      </c>
      <c r="H24" s="35">
        <f t="shared" si="1"/>
        <v>2.2047013507416078</v>
      </c>
      <c r="I24" s="35">
        <f t="shared" si="1"/>
        <v>2.5394831906239612</v>
      </c>
      <c r="J24" s="35">
        <f t="shared" si="1"/>
        <v>2.8609346064649799</v>
      </c>
      <c r="K24" s="35">
        <f t="shared" si="1"/>
        <v>3.1737245307923159</v>
      </c>
      <c r="L24" s="35">
        <f t="shared" si="1"/>
        <v>3.5794001489547163</v>
      </c>
      <c r="M24" s="35">
        <f t="shared" si="1"/>
        <v>3.883405852592082</v>
      </c>
    </row>
    <row r="25" spans="1:13" x14ac:dyDescent="0.25">
      <c r="A25" s="50">
        <v>20</v>
      </c>
      <c r="B25" s="51">
        <f t="shared" si="1"/>
        <v>0.68695449644880313</v>
      </c>
      <c r="C25" s="51">
        <f t="shared" si="1"/>
        <v>0.85996443973238734</v>
      </c>
      <c r="D25" s="51">
        <f t="shared" si="1"/>
        <v>1.0640157711603981</v>
      </c>
      <c r="E25" s="51">
        <f t="shared" si="1"/>
        <v>1.3253407069850465</v>
      </c>
      <c r="F25" s="51">
        <f t="shared" si="1"/>
        <v>1.7247182429207868</v>
      </c>
      <c r="G25" s="51">
        <f t="shared" si="1"/>
        <v>2.0859634472658648</v>
      </c>
      <c r="H25" s="51">
        <f t="shared" si="1"/>
        <v>2.1966577455526797</v>
      </c>
      <c r="I25" s="51">
        <f t="shared" si="1"/>
        <v>2.5279770027415731</v>
      </c>
      <c r="J25" s="51">
        <f t="shared" si="1"/>
        <v>2.8453397097861091</v>
      </c>
      <c r="K25" s="51">
        <f t="shared" si="1"/>
        <v>3.1534005329064536</v>
      </c>
      <c r="L25" s="51">
        <f t="shared" si="1"/>
        <v>3.5518083432033336</v>
      </c>
      <c r="M25" s="51">
        <f t="shared" si="1"/>
        <v>3.8495162749308265</v>
      </c>
    </row>
    <row r="26" spans="1:13" x14ac:dyDescent="0.25">
      <c r="A26" s="1">
        <v>21</v>
      </c>
      <c r="B26" s="35">
        <f t="shared" ref="B26:M41" si="2">TINV(B$4,$A26)</f>
        <v>0.68635199072695385</v>
      </c>
      <c r="C26" s="35">
        <f t="shared" si="2"/>
        <v>0.85907403519482572</v>
      </c>
      <c r="D26" s="35">
        <f t="shared" si="2"/>
        <v>1.0626696881250381</v>
      </c>
      <c r="E26" s="35">
        <f t="shared" si="2"/>
        <v>1.3231878738651732</v>
      </c>
      <c r="F26" s="35">
        <f t="shared" si="2"/>
        <v>1.7207429028118781</v>
      </c>
      <c r="G26" s="35">
        <f t="shared" si="2"/>
        <v>2.07961384472768</v>
      </c>
      <c r="H26" s="35">
        <f t="shared" si="2"/>
        <v>2.1894272704724509</v>
      </c>
      <c r="I26" s="35">
        <f t="shared" si="2"/>
        <v>2.5176480160447423</v>
      </c>
      <c r="J26" s="35">
        <f t="shared" si="2"/>
        <v>2.8313595580230499</v>
      </c>
      <c r="K26" s="35">
        <f t="shared" si="2"/>
        <v>3.1352062454062688</v>
      </c>
      <c r="L26" s="35">
        <f t="shared" si="2"/>
        <v>3.5271536688691771</v>
      </c>
      <c r="M26" s="35">
        <f t="shared" si="2"/>
        <v>3.8192771642744621</v>
      </c>
    </row>
    <row r="27" spans="1:13" x14ac:dyDescent="0.25">
      <c r="A27" s="1">
        <v>22</v>
      </c>
      <c r="B27" s="35">
        <f t="shared" si="2"/>
        <v>0.68580503172188534</v>
      </c>
      <c r="C27" s="35">
        <f t="shared" si="2"/>
        <v>0.85826605165820524</v>
      </c>
      <c r="D27" s="35">
        <f t="shared" si="2"/>
        <v>1.0614488433804641</v>
      </c>
      <c r="E27" s="35">
        <f t="shared" si="2"/>
        <v>1.3212367416133624</v>
      </c>
      <c r="F27" s="35">
        <f t="shared" si="2"/>
        <v>1.7171443743802424</v>
      </c>
      <c r="G27" s="35">
        <f t="shared" si="2"/>
        <v>2.0738730679040258</v>
      </c>
      <c r="H27" s="35">
        <f t="shared" si="2"/>
        <v>2.1828926498742907</v>
      </c>
      <c r="I27" s="35">
        <f t="shared" si="2"/>
        <v>2.5083245528990807</v>
      </c>
      <c r="J27" s="35">
        <f t="shared" si="2"/>
        <v>2.8187560606001436</v>
      </c>
      <c r="K27" s="35">
        <f t="shared" si="2"/>
        <v>3.1188242068607348</v>
      </c>
      <c r="L27" s="35">
        <f t="shared" si="2"/>
        <v>3.5049920310846621</v>
      </c>
      <c r="M27" s="35">
        <f t="shared" si="2"/>
        <v>3.79213067169839</v>
      </c>
    </row>
    <row r="28" spans="1:13" x14ac:dyDescent="0.25">
      <c r="A28" s="1">
        <v>23</v>
      </c>
      <c r="B28" s="35">
        <f t="shared" si="2"/>
        <v>0.68530627806129341</v>
      </c>
      <c r="C28" s="35">
        <f t="shared" si="2"/>
        <v>0.85752955368803352</v>
      </c>
      <c r="D28" s="35">
        <f t="shared" si="2"/>
        <v>1.0603365395897402</v>
      </c>
      <c r="E28" s="35">
        <f t="shared" si="2"/>
        <v>1.3194602398161621</v>
      </c>
      <c r="F28" s="35">
        <f t="shared" si="2"/>
        <v>1.7138715277470482</v>
      </c>
      <c r="G28" s="35">
        <f t="shared" si="2"/>
        <v>2.0686576104190491</v>
      </c>
      <c r="H28" s="35">
        <f t="shared" si="2"/>
        <v>2.1769581113153915</v>
      </c>
      <c r="I28" s="35">
        <f t="shared" si="2"/>
        <v>2.4998667394946681</v>
      </c>
      <c r="J28" s="35">
        <f t="shared" si="2"/>
        <v>2.807335683769999</v>
      </c>
      <c r="K28" s="35">
        <f t="shared" si="2"/>
        <v>3.1039969631408812</v>
      </c>
      <c r="L28" s="35">
        <f t="shared" si="2"/>
        <v>3.4849643749398127</v>
      </c>
      <c r="M28" s="35">
        <f t="shared" si="2"/>
        <v>3.7676268043117811</v>
      </c>
    </row>
    <row r="29" spans="1:13" x14ac:dyDescent="0.25">
      <c r="A29" s="1">
        <v>24</v>
      </c>
      <c r="B29" s="35">
        <f t="shared" si="2"/>
        <v>0.68484962723698206</v>
      </c>
      <c r="C29" s="35">
        <f t="shared" si="2"/>
        <v>0.85685545807565711</v>
      </c>
      <c r="D29" s="35">
        <f t="shared" si="2"/>
        <v>1.0593189207557108</v>
      </c>
      <c r="E29" s="35">
        <f t="shared" si="2"/>
        <v>1.3178359336731498</v>
      </c>
      <c r="F29" s="35">
        <f t="shared" si="2"/>
        <v>1.7108820799094284</v>
      </c>
      <c r="G29" s="35">
        <f t="shared" si="2"/>
        <v>2.0638985616280254</v>
      </c>
      <c r="H29" s="35">
        <f t="shared" si="2"/>
        <v>2.1715446760080814</v>
      </c>
      <c r="I29" s="35">
        <f t="shared" si="2"/>
        <v>2.492159473157757</v>
      </c>
      <c r="J29" s="35">
        <f t="shared" si="2"/>
        <v>2.7969395047744556</v>
      </c>
      <c r="K29" s="35">
        <f t="shared" si="2"/>
        <v>3.0905135487169919</v>
      </c>
      <c r="L29" s="35">
        <f t="shared" si="2"/>
        <v>3.4667772980160274</v>
      </c>
      <c r="M29" s="35">
        <f t="shared" si="2"/>
        <v>3.7453986192900528</v>
      </c>
    </row>
    <row r="30" spans="1:13" x14ac:dyDescent="0.25">
      <c r="A30" s="50">
        <v>25</v>
      </c>
      <c r="B30" s="51">
        <f t="shared" si="2"/>
        <v>0.68442996490426722</v>
      </c>
      <c r="C30" s="51">
        <f t="shared" si="2"/>
        <v>0.85623615767646943</v>
      </c>
      <c r="D30" s="51">
        <f t="shared" si="2"/>
        <v>1.0583843926109098</v>
      </c>
      <c r="E30" s="51">
        <f t="shared" si="2"/>
        <v>1.3163450726738706</v>
      </c>
      <c r="F30" s="51">
        <f t="shared" si="2"/>
        <v>1.7081407612518986</v>
      </c>
      <c r="G30" s="51">
        <f t="shared" si="2"/>
        <v>2.0595385527532977</v>
      </c>
      <c r="H30" s="51">
        <f t="shared" si="2"/>
        <v>2.1665866344527647</v>
      </c>
      <c r="I30" s="51">
        <f t="shared" si="2"/>
        <v>2.485107175410763</v>
      </c>
      <c r="J30" s="51">
        <f t="shared" si="2"/>
        <v>2.7874358136769706</v>
      </c>
      <c r="K30" s="51">
        <f t="shared" si="2"/>
        <v>3.0781994605435226</v>
      </c>
      <c r="L30" s="51">
        <f t="shared" si="2"/>
        <v>3.4501887269730638</v>
      </c>
      <c r="M30" s="51">
        <f t="shared" si="2"/>
        <v>3.7251439497286496</v>
      </c>
    </row>
    <row r="31" spans="1:13" x14ac:dyDescent="0.25">
      <c r="A31" s="1">
        <v>26</v>
      </c>
      <c r="B31" s="35">
        <f t="shared" si="2"/>
        <v>0.68404297268287217</v>
      </c>
      <c r="C31" s="35">
        <f t="shared" si="2"/>
        <v>0.85566523332816824</v>
      </c>
      <c r="D31" s="35">
        <f t="shared" si="2"/>
        <v>1.0575231793060751</v>
      </c>
      <c r="E31" s="35">
        <f t="shared" si="2"/>
        <v>1.3149718642705173</v>
      </c>
      <c r="F31" s="35">
        <f t="shared" si="2"/>
        <v>1.7056179197592738</v>
      </c>
      <c r="G31" s="35">
        <f t="shared" si="2"/>
        <v>2.0555294386428731</v>
      </c>
      <c r="H31" s="35">
        <f t="shared" si="2"/>
        <v>2.1620288734465936</v>
      </c>
      <c r="I31" s="35">
        <f t="shared" si="2"/>
        <v>2.4786298235912425</v>
      </c>
      <c r="J31" s="35">
        <f t="shared" si="2"/>
        <v>2.7787145333296839</v>
      </c>
      <c r="K31" s="35">
        <f t="shared" si="2"/>
        <v>3.0669091164305566</v>
      </c>
      <c r="L31" s="35">
        <f t="shared" si="2"/>
        <v>3.4349971815631162</v>
      </c>
      <c r="M31" s="35">
        <f t="shared" si="2"/>
        <v>3.7066117434809116</v>
      </c>
    </row>
    <row r="32" spans="1:13" x14ac:dyDescent="0.25">
      <c r="A32" s="1">
        <v>27</v>
      </c>
      <c r="B32" s="35">
        <f t="shared" si="2"/>
        <v>0.68368497913103199</v>
      </c>
      <c r="C32" s="35">
        <f t="shared" si="2"/>
        <v>0.85513723069428371</v>
      </c>
      <c r="D32" s="35">
        <f t="shared" si="2"/>
        <v>1.0567269804196731</v>
      </c>
      <c r="E32" s="35">
        <f t="shared" si="2"/>
        <v>1.3137029128292739</v>
      </c>
      <c r="F32" s="35">
        <f t="shared" si="2"/>
        <v>1.7032884457221271</v>
      </c>
      <c r="G32" s="35">
        <f t="shared" si="2"/>
        <v>2.0518305164802859</v>
      </c>
      <c r="H32" s="35">
        <f t="shared" si="2"/>
        <v>2.1578248239169966</v>
      </c>
      <c r="I32" s="35">
        <f t="shared" si="2"/>
        <v>2.4726599119560069</v>
      </c>
      <c r="J32" s="35">
        <f t="shared" si="2"/>
        <v>2.770682957122212</v>
      </c>
      <c r="K32" s="35">
        <f t="shared" si="2"/>
        <v>3.0565201088565046</v>
      </c>
      <c r="L32" s="35">
        <f t="shared" si="2"/>
        <v>3.4210336212293058</v>
      </c>
      <c r="M32" s="35">
        <f t="shared" si="2"/>
        <v>3.6895917134592362</v>
      </c>
    </row>
    <row r="33" spans="1:13" x14ac:dyDescent="0.25">
      <c r="A33" s="1">
        <v>28</v>
      </c>
      <c r="B33" s="35">
        <f t="shared" si="2"/>
        <v>0.68335284298850385</v>
      </c>
      <c r="C33" s="35">
        <f t="shared" si="2"/>
        <v>0.85464748558222203</v>
      </c>
      <c r="D33" s="35">
        <f t="shared" si="2"/>
        <v>1.0559887027683208</v>
      </c>
      <c r="E33" s="35">
        <f t="shared" si="2"/>
        <v>1.3125267815926682</v>
      </c>
      <c r="F33" s="35">
        <f t="shared" si="2"/>
        <v>1.7011309342659326</v>
      </c>
      <c r="G33" s="35">
        <f t="shared" si="2"/>
        <v>2.0484071417952445</v>
      </c>
      <c r="H33" s="35">
        <f t="shared" si="2"/>
        <v>2.1539348676949657</v>
      </c>
      <c r="I33" s="35">
        <f t="shared" si="2"/>
        <v>2.467140097967472</v>
      </c>
      <c r="J33" s="35">
        <f t="shared" si="2"/>
        <v>2.7632624554614447</v>
      </c>
      <c r="K33" s="35">
        <f t="shared" si="2"/>
        <v>3.0469287750530354</v>
      </c>
      <c r="L33" s="35">
        <f t="shared" si="2"/>
        <v>3.4081551783533595</v>
      </c>
      <c r="M33" s="35">
        <f t="shared" si="2"/>
        <v>3.6739064007012763</v>
      </c>
    </row>
    <row r="34" spans="1:13" x14ac:dyDescent="0.25">
      <c r="A34" s="1">
        <v>29</v>
      </c>
      <c r="B34" s="35">
        <f t="shared" si="2"/>
        <v>0.68304386082161361</v>
      </c>
      <c r="C34" s="35">
        <f t="shared" si="2"/>
        <v>0.85419198588185485</v>
      </c>
      <c r="D34" s="35">
        <f t="shared" si="2"/>
        <v>1.0553022486563057</v>
      </c>
      <c r="E34" s="35">
        <f t="shared" si="2"/>
        <v>1.3114336473015527</v>
      </c>
      <c r="F34" s="35">
        <f t="shared" si="2"/>
        <v>1.6991270265334986</v>
      </c>
      <c r="G34" s="35">
        <f t="shared" si="2"/>
        <v>2.0452296421327048</v>
      </c>
      <c r="H34" s="35">
        <f t="shared" si="2"/>
        <v>2.1503250878355509</v>
      </c>
      <c r="I34" s="35">
        <f t="shared" si="2"/>
        <v>2.4620213601504126</v>
      </c>
      <c r="J34" s="35">
        <f t="shared" si="2"/>
        <v>2.7563859036706049</v>
      </c>
      <c r="K34" s="35">
        <f t="shared" si="2"/>
        <v>3.0380467448491753</v>
      </c>
      <c r="L34" s="35">
        <f t="shared" si="2"/>
        <v>3.3962402883568026</v>
      </c>
      <c r="M34" s="35">
        <f t="shared" si="2"/>
        <v>3.659405019466333</v>
      </c>
    </row>
    <row r="35" spans="1:13" x14ac:dyDescent="0.25">
      <c r="A35" s="50">
        <v>30</v>
      </c>
      <c r="B35" s="51">
        <f t="shared" si="2"/>
        <v>0.68275569332128949</v>
      </c>
      <c r="C35" s="51">
        <f t="shared" si="2"/>
        <v>0.85376726147129767</v>
      </c>
      <c r="D35" s="51">
        <f t="shared" si="2"/>
        <v>1.0546623471785603</v>
      </c>
      <c r="E35" s="51">
        <f t="shared" si="2"/>
        <v>1.3104150253913947</v>
      </c>
      <c r="F35" s="51">
        <f t="shared" si="2"/>
        <v>1.6972608865939587</v>
      </c>
      <c r="G35" s="51">
        <f t="shared" si="2"/>
        <v>2.0422724563012378</v>
      </c>
      <c r="H35" s="51">
        <f t="shared" si="2"/>
        <v>2.1469662790897934</v>
      </c>
      <c r="I35" s="51">
        <f t="shared" si="2"/>
        <v>2.4572615424005915</v>
      </c>
      <c r="J35" s="51">
        <f t="shared" si="2"/>
        <v>2.7499956535672259</v>
      </c>
      <c r="K35" s="51">
        <f t="shared" si="2"/>
        <v>3.029798223648243</v>
      </c>
      <c r="L35" s="51">
        <f t="shared" si="2"/>
        <v>3.385184866829305</v>
      </c>
      <c r="M35" s="51">
        <f t="shared" si="2"/>
        <v>3.6459586350420214</v>
      </c>
    </row>
    <row r="36" spans="1:13" x14ac:dyDescent="0.25">
      <c r="A36" s="1">
        <v>31</v>
      </c>
      <c r="B36" s="35">
        <f t="shared" si="2"/>
        <v>0.68248630600257054</v>
      </c>
      <c r="C36" s="35">
        <f t="shared" si="2"/>
        <v>0.85337029569694112</v>
      </c>
      <c r="D36" s="35">
        <f t="shared" si="2"/>
        <v>1.0540644187002899</v>
      </c>
      <c r="E36" s="35">
        <f t="shared" si="2"/>
        <v>1.3094635494946458</v>
      </c>
      <c r="F36" s="35">
        <f t="shared" si="2"/>
        <v>1.6955187825458664</v>
      </c>
      <c r="G36" s="35">
        <f t="shared" si="2"/>
        <v>2.0395134463964082</v>
      </c>
      <c r="H36" s="35">
        <f t="shared" si="2"/>
        <v>2.1438331574854792</v>
      </c>
      <c r="I36" s="35">
        <f t="shared" si="2"/>
        <v>2.4528241934026456</v>
      </c>
      <c r="J36" s="35">
        <f t="shared" si="2"/>
        <v>2.7440419192942698</v>
      </c>
      <c r="K36" s="35">
        <f t="shared" si="2"/>
        <v>3.0221178343096851</v>
      </c>
      <c r="L36" s="35">
        <f t="shared" si="2"/>
        <v>3.3748992804233033</v>
      </c>
      <c r="M36" s="35">
        <f t="shared" si="2"/>
        <v>3.633456349758331</v>
      </c>
    </row>
    <row r="37" spans="1:13" x14ac:dyDescent="0.25">
      <c r="A37" s="1">
        <v>32</v>
      </c>
      <c r="B37" s="35">
        <f t="shared" si="2"/>
        <v>0.68223392112627324</v>
      </c>
      <c r="C37" s="35">
        <f t="shared" si="2"/>
        <v>0.85299845365188598</v>
      </c>
      <c r="D37" s="35">
        <f t="shared" si="2"/>
        <v>1.0535044651435794</v>
      </c>
      <c r="E37" s="35">
        <f t="shared" si="2"/>
        <v>1.3085727931295197</v>
      </c>
      <c r="F37" s="35">
        <f t="shared" si="2"/>
        <v>1.6938887483837093</v>
      </c>
      <c r="G37" s="35">
        <f t="shared" si="2"/>
        <v>2.0369333434601011</v>
      </c>
      <c r="H37" s="35">
        <f t="shared" si="2"/>
        <v>2.1409037238073614</v>
      </c>
      <c r="I37" s="35">
        <f t="shared" si="2"/>
        <v>2.4486776336720522</v>
      </c>
      <c r="J37" s="35">
        <f t="shared" si="2"/>
        <v>2.7384814820121886</v>
      </c>
      <c r="K37" s="35">
        <f t="shared" si="2"/>
        <v>3.0149488883545028</v>
      </c>
      <c r="L37" s="35">
        <f t="shared" si="2"/>
        <v>3.3653059258594324</v>
      </c>
      <c r="M37" s="35">
        <f t="shared" si="2"/>
        <v>3.6218022598674953</v>
      </c>
    </row>
    <row r="38" spans="1:13" x14ac:dyDescent="0.25">
      <c r="A38" s="1">
        <v>33</v>
      </c>
      <c r="B38" s="35">
        <f t="shared" si="2"/>
        <v>0.68199697844127993</v>
      </c>
      <c r="C38" s="35">
        <f t="shared" si="2"/>
        <v>0.85264942364798801</v>
      </c>
      <c r="D38" s="35">
        <f t="shared" si="2"/>
        <v>1.0529789805244782</v>
      </c>
      <c r="E38" s="35">
        <f t="shared" si="2"/>
        <v>1.3077371244508877</v>
      </c>
      <c r="F38" s="35">
        <f t="shared" si="2"/>
        <v>1.6923603090303456</v>
      </c>
      <c r="G38" s="35">
        <f t="shared" si="2"/>
        <v>2.0345152974493397</v>
      </c>
      <c r="H38" s="35">
        <f t="shared" si="2"/>
        <v>2.1381587471270325</v>
      </c>
      <c r="I38" s="35">
        <f t="shared" si="2"/>
        <v>2.4447941998078058</v>
      </c>
      <c r="J38" s="35">
        <f t="shared" si="2"/>
        <v>2.733276642350837</v>
      </c>
      <c r="K38" s="35">
        <f t="shared" si="2"/>
        <v>3.0082419901232798</v>
      </c>
      <c r="L38" s="35">
        <f t="shared" si="2"/>
        <v>3.3563372793636281</v>
      </c>
      <c r="M38" s="35">
        <f t="shared" si="2"/>
        <v>3.6109130076544274</v>
      </c>
    </row>
    <row r="39" spans="1:13" x14ac:dyDescent="0.25">
      <c r="A39" s="1">
        <v>34</v>
      </c>
      <c r="B39" s="35">
        <f t="shared" si="2"/>
        <v>0.68177410291557616</v>
      </c>
      <c r="C39" s="35">
        <f t="shared" si="2"/>
        <v>0.8523211691345034</v>
      </c>
      <c r="D39" s="35">
        <f t="shared" si="2"/>
        <v>1.0524848775103688</v>
      </c>
      <c r="E39" s="35">
        <f t="shared" si="2"/>
        <v>1.3069515871264279</v>
      </c>
      <c r="F39" s="35">
        <f t="shared" si="2"/>
        <v>1.6909242551868542</v>
      </c>
      <c r="G39" s="35">
        <f t="shared" si="2"/>
        <v>2.0322445093177191</v>
      </c>
      <c r="H39" s="35">
        <f t="shared" si="2"/>
        <v>2.1355813427797963</v>
      </c>
      <c r="I39" s="35">
        <f t="shared" si="2"/>
        <v>2.4411496279064839</v>
      </c>
      <c r="J39" s="35">
        <f t="shared" si="2"/>
        <v>2.7283943670707203</v>
      </c>
      <c r="K39" s="35">
        <f t="shared" si="2"/>
        <v>3.0019539014540748</v>
      </c>
      <c r="L39" s="35">
        <f t="shared" si="2"/>
        <v>3.3479343133335262</v>
      </c>
      <c r="M39" s="35">
        <f t="shared" si="2"/>
        <v>3.6007157973864077</v>
      </c>
    </row>
    <row r="40" spans="1:13" x14ac:dyDescent="0.25">
      <c r="A40" s="50">
        <v>35</v>
      </c>
      <c r="B40" s="51">
        <f t="shared" si="2"/>
        <v>0.68156407804658736</v>
      </c>
      <c r="C40" s="51">
        <f t="shared" si="2"/>
        <v>0.85201188895096891</v>
      </c>
      <c r="D40" s="51">
        <f t="shared" si="2"/>
        <v>1.0520194267480705</v>
      </c>
      <c r="E40" s="51">
        <f t="shared" si="2"/>
        <v>1.3062118020160358</v>
      </c>
      <c r="F40" s="51">
        <f t="shared" si="2"/>
        <v>1.6895724577802647</v>
      </c>
      <c r="G40" s="51">
        <f t="shared" si="2"/>
        <v>2.0301079282503438</v>
      </c>
      <c r="H40" s="51">
        <f t="shared" si="2"/>
        <v>2.1331566252399305</v>
      </c>
      <c r="I40" s="51">
        <f t="shared" si="2"/>
        <v>2.4377225471437423</v>
      </c>
      <c r="J40" s="51">
        <f t="shared" si="2"/>
        <v>2.7238055892080912</v>
      </c>
      <c r="K40" s="51">
        <f t="shared" si="2"/>
        <v>2.9960466119017921</v>
      </c>
      <c r="L40" s="51">
        <f t="shared" si="2"/>
        <v>3.3400452020985849</v>
      </c>
      <c r="M40" s="51">
        <f t="shared" si="2"/>
        <v>3.5911467758107785</v>
      </c>
    </row>
    <row r="41" spans="1:13" x14ac:dyDescent="0.25">
      <c r="A41" s="1">
        <v>36</v>
      </c>
      <c r="B41" s="35">
        <f>TINV(B$4,$A41)</f>
        <v>0.6813658236568686</v>
      </c>
      <c r="C41" s="35">
        <f t="shared" si="2"/>
        <v>0.85171998427638973</v>
      </c>
      <c r="D41" s="35">
        <f t="shared" si="2"/>
        <v>1.0515802064450253</v>
      </c>
      <c r="E41" s="35">
        <f t="shared" si="2"/>
        <v>1.3055138855362491</v>
      </c>
      <c r="F41" s="35">
        <f t="shared" si="2"/>
        <v>1.6882977141168172</v>
      </c>
      <c r="G41" s="35">
        <f t="shared" si="2"/>
        <v>2.028094000980452</v>
      </c>
      <c r="H41" s="35">
        <f t="shared" si="2"/>
        <v>2.1308714208359665</v>
      </c>
      <c r="I41" s="35">
        <f t="shared" si="2"/>
        <v>2.4344940612311401</v>
      </c>
      <c r="J41" s="35">
        <f t="shared" si="2"/>
        <v>2.7194846304500082</v>
      </c>
      <c r="K41" s="35">
        <f t="shared" si="2"/>
        <v>2.9904865723842788</v>
      </c>
      <c r="L41" s="35">
        <f t="shared" si="2"/>
        <v>3.3326242570625007</v>
      </c>
      <c r="M41" s="35">
        <f t="shared" si="2"/>
        <v>3.5821497014563373</v>
      </c>
    </row>
    <row r="42" spans="1:13" x14ac:dyDescent="0.25">
      <c r="A42" s="1">
        <v>37</v>
      </c>
      <c r="B42" s="35">
        <f t="shared" ref="B42:M52" si="3">TINV(B$4,$A42)</f>
        <v>0.68117837731985531</v>
      </c>
      <c r="C42" s="35">
        <f t="shared" si="3"/>
        <v>0.85144403099459742</v>
      </c>
      <c r="D42" s="35">
        <f t="shared" si="3"/>
        <v>1.0511650602376905</v>
      </c>
      <c r="E42" s="35">
        <f t="shared" si="3"/>
        <v>1.3048543814976252</v>
      </c>
      <c r="F42" s="35">
        <f t="shared" si="3"/>
        <v>1.6870936195962629</v>
      </c>
      <c r="G42" s="35">
        <f t="shared" si="3"/>
        <v>2.026192463029111</v>
      </c>
      <c r="H42" s="35">
        <f t="shared" si="3"/>
        <v>2.12871402861012</v>
      </c>
      <c r="I42" s="35">
        <f t="shared" si="3"/>
        <v>2.4314474004646742</v>
      </c>
      <c r="J42" s="35">
        <f t="shared" si="3"/>
        <v>2.7154087215499887</v>
      </c>
      <c r="K42" s="35">
        <f t="shared" si="3"/>
        <v>2.9852440597161727</v>
      </c>
      <c r="L42" s="35">
        <f t="shared" si="3"/>
        <v>3.3256310451969409</v>
      </c>
      <c r="M42" s="35">
        <f t="shared" si="3"/>
        <v>3.5736748444452058</v>
      </c>
    </row>
    <row r="43" spans="1:13" x14ac:dyDescent="0.25">
      <c r="A43" s="1">
        <v>38</v>
      </c>
      <c r="B43" s="35">
        <f t="shared" si="3"/>
        <v>0.68100087874171833</v>
      </c>
      <c r="C43" s="35">
        <f t="shared" si="3"/>
        <v>0.8511827564679445</v>
      </c>
      <c r="D43" s="35">
        <f t="shared" si="3"/>
        <v>1.0507720618004142</v>
      </c>
      <c r="E43" s="35">
        <f t="shared" si="3"/>
        <v>1.3042302038905009</v>
      </c>
      <c r="F43" s="35">
        <f t="shared" si="3"/>
        <v>1.6859544601667387</v>
      </c>
      <c r="G43" s="35">
        <f t="shared" si="3"/>
        <v>2.0243941639119702</v>
      </c>
      <c r="H43" s="35">
        <f t="shared" si="3"/>
        <v>2.1266740201670196</v>
      </c>
      <c r="I43" s="35">
        <f t="shared" si="3"/>
        <v>2.4285676308590882</v>
      </c>
      <c r="J43" s="35">
        <f t="shared" si="3"/>
        <v>2.711557601913082</v>
      </c>
      <c r="K43" s="35">
        <f t="shared" si="3"/>
        <v>2.9802926466868227</v>
      </c>
      <c r="L43" s="35">
        <f t="shared" si="3"/>
        <v>3.3190296551103571</v>
      </c>
      <c r="M43" s="35">
        <f t="shared" si="3"/>
        <v>3.5656780715802339</v>
      </c>
    </row>
    <row r="44" spans="1:13" x14ac:dyDescent="0.25">
      <c r="A44" s="1">
        <v>39</v>
      </c>
      <c r="B44" s="35">
        <f t="shared" si="3"/>
        <v>0.68083255656460673</v>
      </c>
      <c r="C44" s="35">
        <f t="shared" si="3"/>
        <v>0.85093501992012333</v>
      </c>
      <c r="D44" s="35">
        <f t="shared" si="3"/>
        <v>1.0503994849694949</v>
      </c>
      <c r="E44" s="35">
        <f t="shared" si="3"/>
        <v>1.3036385886212738</v>
      </c>
      <c r="F44" s="35">
        <f t="shared" si="3"/>
        <v>1.6848751217112248</v>
      </c>
      <c r="G44" s="35">
        <f t="shared" si="3"/>
        <v>2.0226909200367595</v>
      </c>
      <c r="H44" s="35">
        <f t="shared" si="3"/>
        <v>2.1247420712933671</v>
      </c>
      <c r="I44" s="35">
        <f t="shared" si="3"/>
        <v>2.4258414097356304</v>
      </c>
      <c r="J44" s="35">
        <f t="shared" si="3"/>
        <v>2.7079131835176615</v>
      </c>
      <c r="K44" s="35">
        <f t="shared" si="3"/>
        <v>2.9756087577929864</v>
      </c>
      <c r="L44" s="35">
        <f t="shared" si="3"/>
        <v>3.3127880826719012</v>
      </c>
      <c r="M44" s="35">
        <f t="shared" si="3"/>
        <v>3.5581200813327323</v>
      </c>
    </row>
    <row r="45" spans="1:13" x14ac:dyDescent="0.25">
      <c r="A45" s="50">
        <v>40</v>
      </c>
      <c r="B45" s="51">
        <f t="shared" si="3"/>
        <v>0.68067271716444966</v>
      </c>
      <c r="C45" s="51">
        <f t="shared" si="3"/>
        <v>0.85069979579045529</v>
      </c>
      <c r="D45" s="51">
        <f t="shared" si="3"/>
        <v>1.0500457784051431</v>
      </c>
      <c r="E45" s="51">
        <f t="shared" si="3"/>
        <v>1.3030770526071962</v>
      </c>
      <c r="F45" s="51">
        <f t="shared" si="3"/>
        <v>1.6838510133356521</v>
      </c>
      <c r="G45" s="51">
        <f t="shared" si="3"/>
        <v>2.0210753903062737</v>
      </c>
      <c r="H45" s="51">
        <f t="shared" si="3"/>
        <v>2.1229098196177318</v>
      </c>
      <c r="I45" s="51">
        <f t="shared" si="3"/>
        <v>2.4232567793348583</v>
      </c>
      <c r="J45" s="51">
        <f t="shared" si="3"/>
        <v>2.7044592674331631</v>
      </c>
      <c r="K45" s="51">
        <f t="shared" si="3"/>
        <v>2.9711712949060733</v>
      </c>
      <c r="L45" s="51">
        <f t="shared" si="3"/>
        <v>3.3068777140858225</v>
      </c>
      <c r="M45" s="51">
        <f t="shared" si="3"/>
        <v>3.5509657608633112</v>
      </c>
    </row>
    <row r="46" spans="1:13" x14ac:dyDescent="0.25">
      <c r="A46" s="1">
        <v>50</v>
      </c>
      <c r="B46" s="35">
        <f t="shared" si="3"/>
        <v>0.6794282003263471</v>
      </c>
      <c r="C46" s="35">
        <f t="shared" si="3"/>
        <v>0.84886924450866619</v>
      </c>
      <c r="D46" s="35">
        <f t="shared" si="3"/>
        <v>1.0472949265516827</v>
      </c>
      <c r="E46" s="35">
        <f t="shared" si="3"/>
        <v>1.2987136941948108</v>
      </c>
      <c r="F46" s="35">
        <f t="shared" si="3"/>
        <v>1.6759050251630967</v>
      </c>
      <c r="G46" s="35">
        <f t="shared" si="3"/>
        <v>2.0085591121007611</v>
      </c>
      <c r="H46" s="35">
        <f t="shared" si="3"/>
        <v>2.1087212818962611</v>
      </c>
      <c r="I46" s="35">
        <f t="shared" si="3"/>
        <v>2.4032719166741709</v>
      </c>
      <c r="J46" s="35">
        <f t="shared" si="3"/>
        <v>2.6777932709408443</v>
      </c>
      <c r="K46" s="35">
        <f t="shared" si="3"/>
        <v>2.9369640853037615</v>
      </c>
      <c r="L46" s="35">
        <f t="shared" si="3"/>
        <v>3.261409055798318</v>
      </c>
      <c r="M46" s="35">
        <f t="shared" si="3"/>
        <v>3.4960128818111396</v>
      </c>
    </row>
    <row r="47" spans="1:13" x14ac:dyDescent="0.25">
      <c r="A47" s="1">
        <v>60</v>
      </c>
      <c r="B47" s="35">
        <f t="shared" si="3"/>
        <v>0.67860072064813881</v>
      </c>
      <c r="C47" s="35">
        <f t="shared" si="3"/>
        <v>0.847653006356612</v>
      </c>
      <c r="D47" s="35">
        <f t="shared" si="3"/>
        <v>1.0454689431031854</v>
      </c>
      <c r="E47" s="35">
        <f t="shared" si="3"/>
        <v>1.2958210935157342</v>
      </c>
      <c r="F47" s="35">
        <f t="shared" si="3"/>
        <v>1.6706488649046354</v>
      </c>
      <c r="G47" s="35">
        <f t="shared" si="3"/>
        <v>2.0002978220142609</v>
      </c>
      <c r="H47" s="35">
        <f t="shared" si="3"/>
        <v>2.0993628445724326</v>
      </c>
      <c r="I47" s="35">
        <f t="shared" si="3"/>
        <v>2.3901194726249129</v>
      </c>
      <c r="J47" s="35">
        <f t="shared" si="3"/>
        <v>2.6602830288550381</v>
      </c>
      <c r="K47" s="35">
        <f t="shared" si="3"/>
        <v>2.9145525754194992</v>
      </c>
      <c r="L47" s="35">
        <f t="shared" si="3"/>
        <v>3.2317091260243584</v>
      </c>
      <c r="M47" s="35">
        <f t="shared" si="3"/>
        <v>3.4602004691963555</v>
      </c>
    </row>
    <row r="48" spans="1:13" x14ac:dyDescent="0.25">
      <c r="A48" s="1">
        <v>70</v>
      </c>
      <c r="B48" s="35">
        <f t="shared" si="3"/>
        <v>0.67801074129170669</v>
      </c>
      <c r="C48" s="35">
        <f t="shared" si="3"/>
        <v>0.84678628503337627</v>
      </c>
      <c r="D48" s="35">
        <f t="shared" si="3"/>
        <v>1.0441685359418063</v>
      </c>
      <c r="E48" s="35">
        <f t="shared" si="3"/>
        <v>1.2937628979376541</v>
      </c>
      <c r="F48" s="35">
        <f t="shared" si="3"/>
        <v>1.6669144790559576</v>
      </c>
      <c r="G48" s="35">
        <f t="shared" si="3"/>
        <v>1.9944371117711854</v>
      </c>
      <c r="H48" s="35">
        <f t="shared" si="3"/>
        <v>2.0927270053324185</v>
      </c>
      <c r="I48" s="35">
        <f t="shared" si="3"/>
        <v>2.3808074822914329</v>
      </c>
      <c r="J48" s="35">
        <f t="shared" si="3"/>
        <v>2.6479046237511512</v>
      </c>
      <c r="K48" s="35">
        <f t="shared" si="3"/>
        <v>2.8987337748266873</v>
      </c>
      <c r="L48" s="35">
        <f t="shared" si="3"/>
        <v>3.21078906096783</v>
      </c>
      <c r="M48" s="35">
        <f t="shared" si="3"/>
        <v>3.4350145214208152</v>
      </c>
    </row>
    <row r="49" spans="1:13" x14ac:dyDescent="0.25">
      <c r="A49" s="1">
        <v>80</v>
      </c>
      <c r="B49" s="35">
        <f t="shared" si="3"/>
        <v>0.67756884639483062</v>
      </c>
      <c r="C49" s="35">
        <f t="shared" si="3"/>
        <v>0.84613734794629325</v>
      </c>
      <c r="D49" s="35">
        <f t="shared" si="3"/>
        <v>1.0431953408378789</v>
      </c>
      <c r="E49" s="35">
        <f t="shared" si="3"/>
        <v>1.2922235830591293</v>
      </c>
      <c r="F49" s="35">
        <f t="shared" si="3"/>
        <v>1.6641245785896708</v>
      </c>
      <c r="G49" s="35">
        <f t="shared" si="3"/>
        <v>1.9900634212544475</v>
      </c>
      <c r="H49" s="35">
        <f t="shared" si="3"/>
        <v>2.0877765978107306</v>
      </c>
      <c r="I49" s="35">
        <f t="shared" si="3"/>
        <v>2.3738682729673433</v>
      </c>
      <c r="J49" s="35">
        <f t="shared" si="3"/>
        <v>2.6386905963441825</v>
      </c>
      <c r="K49" s="35">
        <f t="shared" si="3"/>
        <v>2.8869720507572003</v>
      </c>
      <c r="L49" s="35">
        <f t="shared" si="3"/>
        <v>3.195257690290743</v>
      </c>
      <c r="M49" s="35">
        <f t="shared" si="3"/>
        <v>3.4163374584769461</v>
      </c>
    </row>
    <row r="50" spans="1:13" x14ac:dyDescent="0.25">
      <c r="A50" s="50">
        <v>90</v>
      </c>
      <c r="B50" s="51">
        <f t="shared" si="3"/>
        <v>0.67722549991249448</v>
      </c>
      <c r="C50" s="51">
        <f t="shared" si="3"/>
        <v>0.84563327287036105</v>
      </c>
      <c r="D50" s="51">
        <f t="shared" si="3"/>
        <v>1.0424396599315506</v>
      </c>
      <c r="E50" s="51">
        <f t="shared" si="3"/>
        <v>1.2910288987408942</v>
      </c>
      <c r="F50" s="51">
        <f t="shared" si="3"/>
        <v>1.661961084030164</v>
      </c>
      <c r="G50" s="51">
        <f t="shared" si="3"/>
        <v>1.986674540703772</v>
      </c>
      <c r="H50" s="51">
        <f t="shared" si="3"/>
        <v>2.0839418836555521</v>
      </c>
      <c r="I50" s="51">
        <f t="shared" si="3"/>
        <v>2.3684974762391677</v>
      </c>
      <c r="J50" s="51">
        <f t="shared" si="3"/>
        <v>2.6315651655871597</v>
      </c>
      <c r="K50" s="51">
        <f t="shared" si="3"/>
        <v>2.8778841834889604</v>
      </c>
      <c r="L50" s="51">
        <f t="shared" si="3"/>
        <v>3.1832708140535444</v>
      </c>
      <c r="M50" s="51">
        <f t="shared" si="3"/>
        <v>3.4019353068602105</v>
      </c>
    </row>
    <row r="51" spans="1:13" x14ac:dyDescent="0.25">
      <c r="A51" s="1">
        <v>100</v>
      </c>
      <c r="B51" s="35">
        <f t="shared" si="3"/>
        <v>0.67695104301146958</v>
      </c>
      <c r="C51" s="35">
        <f t="shared" si="3"/>
        <v>0.84523042449101327</v>
      </c>
      <c r="D51" s="35">
        <f t="shared" si="3"/>
        <v>1.0418359009083447</v>
      </c>
      <c r="E51" s="35">
        <f t="shared" si="3"/>
        <v>1.2900747613465169</v>
      </c>
      <c r="F51" s="35">
        <f t="shared" si="3"/>
        <v>1.6602343260853425</v>
      </c>
      <c r="G51" s="35">
        <f t="shared" si="3"/>
        <v>1.9839715185235556</v>
      </c>
      <c r="H51" s="35">
        <f t="shared" si="3"/>
        <v>2.0808839013370743</v>
      </c>
      <c r="I51" s="35">
        <f t="shared" si="3"/>
        <v>2.3642173662384813</v>
      </c>
      <c r="J51" s="35">
        <f t="shared" si="3"/>
        <v>2.6258905214380182</v>
      </c>
      <c r="K51" s="35">
        <f t="shared" si="3"/>
        <v>2.8706515238365373</v>
      </c>
      <c r="L51" s="35">
        <f t="shared" si="3"/>
        <v>3.1737394937387822</v>
      </c>
      <c r="M51" s="35">
        <f t="shared" si="3"/>
        <v>3.3904913111642285</v>
      </c>
    </row>
    <row r="52" spans="1:13" x14ac:dyDescent="0.25">
      <c r="A52" s="1">
        <v>1000</v>
      </c>
      <c r="B52" s="35">
        <f t="shared" si="3"/>
        <v>0.67473516460701199</v>
      </c>
      <c r="C52" s="35">
        <f t="shared" si="3"/>
        <v>0.84198082216247228</v>
      </c>
      <c r="D52" s="35">
        <f t="shared" si="3"/>
        <v>1.0369711108274269</v>
      </c>
      <c r="E52" s="35">
        <f t="shared" si="3"/>
        <v>1.2823987214609143</v>
      </c>
      <c r="F52" s="35">
        <f t="shared" si="3"/>
        <v>1.6463788172854321</v>
      </c>
      <c r="G52" s="35">
        <f t="shared" si="3"/>
        <v>1.9623390808264143</v>
      </c>
      <c r="H52" s="35">
        <f t="shared" si="3"/>
        <v>2.0564313810574135</v>
      </c>
      <c r="I52" s="35">
        <f t="shared" si="3"/>
        <v>2.3300826747555341</v>
      </c>
      <c r="J52" s="35">
        <f t="shared" si="3"/>
        <v>2.5807546980659501</v>
      </c>
      <c r="K52" s="35">
        <f t="shared" si="3"/>
        <v>2.8132778604855297</v>
      </c>
      <c r="L52" s="35">
        <f t="shared" si="3"/>
        <v>3.0984021639129264</v>
      </c>
      <c r="M52" s="35">
        <f t="shared" si="3"/>
        <v>3.3002826484239298</v>
      </c>
    </row>
    <row r="53" spans="1:13" x14ac:dyDescent="0.25">
      <c r="A53" s="1" t="s">
        <v>113</v>
      </c>
      <c r="B53" s="35">
        <f>-NORMSINV(B3)</f>
        <v>0.67448975019608193</v>
      </c>
      <c r="C53" s="35">
        <f t="shared" ref="C53:M53" si="4">-NORMSINV(C3)</f>
        <v>0.84162123357291452</v>
      </c>
      <c r="D53" s="35">
        <f t="shared" si="4"/>
        <v>1.0364333894937898</v>
      </c>
      <c r="E53" s="35">
        <f t="shared" si="4"/>
        <v>1.2815515655446006</v>
      </c>
      <c r="F53" s="35">
        <f t="shared" si="4"/>
        <v>1.6448536269514726</v>
      </c>
      <c r="G53" s="35">
        <f t="shared" si="4"/>
        <v>1.9599639845400538</v>
      </c>
      <c r="H53" s="35">
        <f t="shared" si="4"/>
        <v>2.0537489106318225</v>
      </c>
      <c r="I53" s="35">
        <f t="shared" si="4"/>
        <v>2.3263478740408408</v>
      </c>
      <c r="J53" s="35">
        <f t="shared" si="4"/>
        <v>2.5758293035488999</v>
      </c>
      <c r="K53" s="35">
        <f t="shared" si="4"/>
        <v>2.8070337683438042</v>
      </c>
      <c r="L53" s="35">
        <f t="shared" si="4"/>
        <v>3.0902323061678132</v>
      </c>
      <c r="M53" s="35">
        <f t="shared" si="4"/>
        <v>3.2905267314918945</v>
      </c>
    </row>
    <row r="54" spans="1:13" x14ac:dyDescent="0.25">
      <c r="A54" s="1"/>
      <c r="B54" s="35"/>
      <c r="C54" s="35"/>
      <c r="D54" s="35"/>
      <c r="E54" s="35"/>
      <c r="F54" s="35"/>
      <c r="G54" s="35"/>
      <c r="H54" s="35"/>
      <c r="I54" s="35"/>
      <c r="J54" s="35"/>
      <c r="K54" s="35"/>
      <c r="L54" s="35"/>
      <c r="M54" s="35"/>
    </row>
    <row r="55" spans="1:13" x14ac:dyDescent="0.25">
      <c r="M55" s="29" t="s">
        <v>114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6"/>
  <sheetViews>
    <sheetView workbookViewId="0">
      <selection activeCell="B26" sqref="B26"/>
    </sheetView>
  </sheetViews>
  <sheetFormatPr defaultRowHeight="15" x14ac:dyDescent="0.25"/>
  <sheetData>
    <row r="1" spans="1:23" ht="15.75" x14ac:dyDescent="0.25">
      <c r="A1" s="416" t="s">
        <v>252</v>
      </c>
      <c r="B1" s="416"/>
      <c r="C1" s="416"/>
      <c r="D1" s="416"/>
      <c r="E1" s="416"/>
      <c r="F1" s="416"/>
      <c r="G1" s="416"/>
      <c r="H1" s="416"/>
      <c r="I1" s="416"/>
      <c r="J1" s="416"/>
      <c r="K1" s="416"/>
      <c r="L1" s="416"/>
      <c r="M1" s="416"/>
      <c r="N1" s="416"/>
      <c r="O1" s="416"/>
      <c r="P1" s="416"/>
      <c r="Q1" s="416"/>
      <c r="R1" s="416"/>
      <c r="S1" s="416"/>
      <c r="T1" s="416"/>
      <c r="U1" s="416"/>
      <c r="V1" s="416"/>
      <c r="W1" s="416"/>
    </row>
    <row r="2" spans="1:23" x14ac:dyDescent="0.25">
      <c r="M2" s="1"/>
    </row>
    <row r="3" spans="1:23" x14ac:dyDescent="0.25">
      <c r="A3" s="128" t="s">
        <v>113</v>
      </c>
      <c r="B3" s="129">
        <v>0</v>
      </c>
      <c r="C3" s="130">
        <v>0.01</v>
      </c>
      <c r="D3" s="130">
        <v>0.02</v>
      </c>
      <c r="E3" s="130">
        <v>0.03</v>
      </c>
      <c r="F3" s="130">
        <v>0.04</v>
      </c>
      <c r="G3" s="130">
        <v>0.05</v>
      </c>
      <c r="H3" s="130">
        <v>0.06</v>
      </c>
      <c r="I3" s="130">
        <v>7.0000000000000007E-2</v>
      </c>
      <c r="J3" s="130">
        <v>0.08</v>
      </c>
      <c r="K3" s="130">
        <v>0.09</v>
      </c>
      <c r="L3" s="131"/>
      <c r="M3" s="128" t="s">
        <v>113</v>
      </c>
      <c r="N3" s="129">
        <v>0</v>
      </c>
      <c r="O3" s="130">
        <v>0.01</v>
      </c>
      <c r="P3" s="130">
        <v>0.02</v>
      </c>
      <c r="Q3" s="130">
        <v>0.03</v>
      </c>
      <c r="R3" s="130">
        <v>0.04</v>
      </c>
      <c r="S3" s="130">
        <v>0.05</v>
      </c>
      <c r="T3" s="130">
        <v>0.06</v>
      </c>
      <c r="U3" s="130">
        <v>7.0000000000000007E-2</v>
      </c>
      <c r="V3" s="130">
        <v>0.08</v>
      </c>
      <c r="W3" s="130">
        <v>0.09</v>
      </c>
    </row>
    <row r="4" spans="1:23" x14ac:dyDescent="0.25">
      <c r="A4" s="132">
        <v>-4</v>
      </c>
      <c r="B4" s="49">
        <f t="shared" ref="B4:K29" si="0">NORMSDIST($A4-B$3)</f>
        <v>3.1671241833119857E-5</v>
      </c>
      <c r="C4" s="49">
        <f t="shared" si="0"/>
        <v>3.0359373926618166E-5</v>
      </c>
      <c r="D4" s="49">
        <f t="shared" si="0"/>
        <v>2.9099070711930998E-5</v>
      </c>
      <c r="E4" s="49">
        <f t="shared" si="0"/>
        <v>2.7888426440563852E-5</v>
      </c>
      <c r="F4" s="49">
        <f t="shared" si="0"/>
        <v>2.6725600719492029E-5</v>
      </c>
      <c r="G4" s="49">
        <f t="shared" si="0"/>
        <v>2.5608816474041486E-5</v>
      </c>
      <c r="H4" s="49">
        <f t="shared" si="0"/>
        <v>2.4536357966409732E-5</v>
      </c>
      <c r="I4" s="49">
        <f t="shared" si="0"/>
        <v>2.3506568868595562E-5</v>
      </c>
      <c r="J4" s="49">
        <f t="shared" si="0"/>
        <v>2.251785038852539E-5</v>
      </c>
      <c r="K4" s="49">
        <f t="shared" si="0"/>
        <v>2.1568659448180566E-5</v>
      </c>
      <c r="L4" s="131"/>
      <c r="M4" s="133">
        <v>0</v>
      </c>
      <c r="N4" s="49">
        <f t="shared" ref="N4:W19" si="1">NORMSDIST($M4+N$3)</f>
        <v>0.5</v>
      </c>
      <c r="O4" s="49">
        <f t="shared" si="1"/>
        <v>0.5039893563146316</v>
      </c>
      <c r="P4" s="49">
        <f t="shared" si="1"/>
        <v>0.50797831371690205</v>
      </c>
      <c r="Q4" s="49">
        <f t="shared" si="1"/>
        <v>0.51196647341411272</v>
      </c>
      <c r="R4" s="49">
        <f t="shared" si="1"/>
        <v>0.51595343685283068</v>
      </c>
      <c r="S4" s="49">
        <f t="shared" si="1"/>
        <v>0.51993880583837249</v>
      </c>
      <c r="T4" s="49">
        <f t="shared" si="1"/>
        <v>0.52392218265410684</v>
      </c>
      <c r="U4" s="49">
        <f t="shared" si="1"/>
        <v>0.52790317018052113</v>
      </c>
      <c r="V4" s="49">
        <f t="shared" si="1"/>
        <v>0.53188137201398744</v>
      </c>
      <c r="W4" s="49">
        <f t="shared" si="1"/>
        <v>0.53585639258517204</v>
      </c>
    </row>
    <row r="5" spans="1:23" x14ac:dyDescent="0.25">
      <c r="A5" s="132">
        <v>-3.9</v>
      </c>
      <c r="B5" s="49">
        <f t="shared" si="0"/>
        <v>4.8096344017602614E-5</v>
      </c>
      <c r="C5" s="49">
        <f t="shared" si="0"/>
        <v>4.6148060556208756E-5</v>
      </c>
      <c r="D5" s="49">
        <f t="shared" si="0"/>
        <v>4.4274484312070743E-5</v>
      </c>
      <c r="E5" s="49">
        <f t="shared" si="0"/>
        <v>4.2472930788761133E-5</v>
      </c>
      <c r="F5" s="49">
        <f t="shared" si="0"/>
        <v>4.0740804558550716E-5</v>
      </c>
      <c r="G5" s="49">
        <f t="shared" si="0"/>
        <v>3.9075596597787565E-5</v>
      </c>
      <c r="H5" s="49">
        <f t="shared" si="0"/>
        <v>3.747488169107341E-5</v>
      </c>
      <c r="I5" s="49">
        <f t="shared" si="0"/>
        <v>3.5936315902853819E-5</v>
      </c>
      <c r="J5" s="49">
        <f t="shared" si="0"/>
        <v>3.4457634115053068E-5</v>
      </c>
      <c r="K5" s="49">
        <f t="shared" si="0"/>
        <v>3.3036647629402444E-5</v>
      </c>
      <c r="L5" s="131"/>
      <c r="M5" s="128">
        <v>0.1</v>
      </c>
      <c r="N5" s="49">
        <f t="shared" si="1"/>
        <v>0.53982783727702899</v>
      </c>
      <c r="O5" s="49">
        <f t="shared" si="1"/>
        <v>0.54379531254231672</v>
      </c>
      <c r="P5" s="49">
        <f t="shared" si="1"/>
        <v>0.54775842602058389</v>
      </c>
      <c r="Q5" s="49">
        <f t="shared" si="1"/>
        <v>0.55171678665456114</v>
      </c>
      <c r="R5" s="49">
        <f t="shared" si="1"/>
        <v>0.55567000480590645</v>
      </c>
      <c r="S5" s="49">
        <f t="shared" si="1"/>
        <v>0.5596176923702425</v>
      </c>
      <c r="T5" s="49">
        <f t="shared" si="1"/>
        <v>0.56355946289143288</v>
      </c>
      <c r="U5" s="49">
        <f t="shared" si="1"/>
        <v>0.56749493167503839</v>
      </c>
      <c r="V5" s="49">
        <f t="shared" si="1"/>
        <v>0.5714237159009008</v>
      </c>
      <c r="W5" s="49">
        <f t="shared" si="1"/>
        <v>0.57534543473479549</v>
      </c>
    </row>
    <row r="6" spans="1:23" x14ac:dyDescent="0.25">
      <c r="A6" s="132">
        <v>-3.8</v>
      </c>
      <c r="B6" s="49">
        <f t="shared" si="0"/>
        <v>7.234804392511999E-5</v>
      </c>
      <c r="C6" s="49">
        <f t="shared" si="0"/>
        <v>6.9483395879865238E-5</v>
      </c>
      <c r="D6" s="49">
        <f t="shared" si="0"/>
        <v>6.6725837029684654E-5</v>
      </c>
      <c r="E6" s="49">
        <f t="shared" si="0"/>
        <v>6.4071629488874604E-5</v>
      </c>
      <c r="F6" s="49">
        <f t="shared" si="0"/>
        <v>6.1517155183255203E-5</v>
      </c>
      <c r="G6" s="49">
        <f t="shared" si="0"/>
        <v>5.9058912418922564E-5</v>
      </c>
      <c r="H6" s="49">
        <f t="shared" si="0"/>
        <v>5.6693512534256526E-5</v>
      </c>
      <c r="I6" s="49">
        <f t="shared" si="0"/>
        <v>5.4417676633699758E-5</v>
      </c>
      <c r="J6" s="49">
        <f t="shared" si="0"/>
        <v>5.2228232401820074E-5</v>
      </c>
      <c r="K6" s="49">
        <f t="shared" si="0"/>
        <v>5.0122110996188361E-5</v>
      </c>
      <c r="L6" s="131"/>
      <c r="M6" s="133">
        <v>0.2</v>
      </c>
      <c r="N6" s="49">
        <f t="shared" si="1"/>
        <v>0.57925970943910299</v>
      </c>
      <c r="O6" s="49">
        <f t="shared" si="1"/>
        <v>0.58316616348244232</v>
      </c>
      <c r="P6" s="49">
        <f t="shared" si="1"/>
        <v>0.58706442264821468</v>
      </c>
      <c r="Q6" s="49">
        <f t="shared" si="1"/>
        <v>0.59095411514200591</v>
      </c>
      <c r="R6" s="49">
        <f t="shared" si="1"/>
        <v>0.59483487169779581</v>
      </c>
      <c r="S6" s="49">
        <f t="shared" si="1"/>
        <v>0.5987063256829237</v>
      </c>
      <c r="T6" s="49">
        <f t="shared" si="1"/>
        <v>0.60256811320176051</v>
      </c>
      <c r="U6" s="49">
        <f t="shared" si="1"/>
        <v>0.60641987319803947</v>
      </c>
      <c r="V6" s="49">
        <f t="shared" si="1"/>
        <v>0.61026124755579725</v>
      </c>
      <c r="W6" s="49">
        <f t="shared" si="1"/>
        <v>0.61409188119887737</v>
      </c>
    </row>
    <row r="7" spans="1:23" x14ac:dyDescent="0.25">
      <c r="A7" s="130">
        <v>-3.7</v>
      </c>
      <c r="B7" s="49">
        <f t="shared" si="0"/>
        <v>1.0779973347738824E-4</v>
      </c>
      <c r="C7" s="49">
        <f t="shared" si="0"/>
        <v>1.0362962367403117E-4</v>
      </c>
      <c r="D7" s="49">
        <f t="shared" si="0"/>
        <v>9.9611388975916519E-5</v>
      </c>
      <c r="E7" s="49">
        <f t="shared" si="0"/>
        <v>9.5739885268914462E-5</v>
      </c>
      <c r="F7" s="49">
        <f t="shared" si="0"/>
        <v>9.2010127474105404E-5</v>
      </c>
      <c r="G7" s="49">
        <f t="shared" si="0"/>
        <v>8.841728520080376E-5</v>
      </c>
      <c r="H7" s="49">
        <f t="shared" si="0"/>
        <v>8.4956678497997659E-5</v>
      </c>
      <c r="I7" s="49">
        <f t="shared" si="0"/>
        <v>8.1623773702686067E-5</v>
      </c>
      <c r="J7" s="49">
        <f t="shared" si="0"/>
        <v>7.8414179383584848E-5</v>
      </c>
      <c r="K7" s="49">
        <f t="shared" si="0"/>
        <v>7.5323642378683189E-5</v>
      </c>
      <c r="L7" s="131"/>
      <c r="M7" s="128">
        <v>0.3</v>
      </c>
      <c r="N7" s="49">
        <f t="shared" si="1"/>
        <v>0.61791142218895267</v>
      </c>
      <c r="O7" s="49">
        <f t="shared" si="1"/>
        <v>0.62171952182201928</v>
      </c>
      <c r="P7" s="49">
        <f t="shared" si="1"/>
        <v>0.62551583472332006</v>
      </c>
      <c r="Q7" s="49">
        <f t="shared" si="1"/>
        <v>0.62930001894065346</v>
      </c>
      <c r="R7" s="49">
        <f t="shared" si="1"/>
        <v>0.63307173603602807</v>
      </c>
      <c r="S7" s="49">
        <f t="shared" si="1"/>
        <v>0.6368306511756191</v>
      </c>
      <c r="T7" s="49">
        <f t="shared" si="1"/>
        <v>0.64057643321799129</v>
      </c>
      <c r="U7" s="49">
        <f t="shared" si="1"/>
        <v>0.64430875480054683</v>
      </c>
      <c r="V7" s="49">
        <f t="shared" si="1"/>
        <v>0.64802729242416279</v>
      </c>
      <c r="W7" s="49">
        <f t="shared" si="1"/>
        <v>0.65173172653598244</v>
      </c>
    </row>
    <row r="8" spans="1:23" x14ac:dyDescent="0.25">
      <c r="A8" s="132">
        <v>-3.6</v>
      </c>
      <c r="B8" s="49">
        <f t="shared" si="0"/>
        <v>1.5910859015753364E-4</v>
      </c>
      <c r="C8" s="49">
        <f t="shared" si="0"/>
        <v>1.530985025737551E-4</v>
      </c>
      <c r="D8" s="49">
        <f t="shared" si="0"/>
        <v>1.4730150790747228E-4</v>
      </c>
      <c r="E8" s="49">
        <f t="shared" si="0"/>
        <v>1.4171060987581911E-4</v>
      </c>
      <c r="F8" s="49">
        <f t="shared" si="0"/>
        <v>1.3631902044580166E-4</v>
      </c>
      <c r="G8" s="49">
        <f t="shared" si="0"/>
        <v>1.3112015442048446E-4</v>
      </c>
      <c r="H8" s="49">
        <f t="shared" si="0"/>
        <v>1.2610762413848639E-4</v>
      </c>
      <c r="I8" s="49">
        <f t="shared" si="0"/>
        <v>1.2127523428535774E-4</v>
      </c>
      <c r="J8" s="49">
        <f t="shared" si="0"/>
        <v>1.1661697681536817E-4</v>
      </c>
      <c r="K8" s="49">
        <f t="shared" si="0"/>
        <v>1.1212702598224692E-4</v>
      </c>
      <c r="L8" s="131"/>
      <c r="M8" s="133">
        <v>0.4</v>
      </c>
      <c r="N8" s="49">
        <f t="shared" si="1"/>
        <v>0.65542174161032429</v>
      </c>
      <c r="O8" s="49">
        <f t="shared" si="1"/>
        <v>0.65909702622767741</v>
      </c>
      <c r="P8" s="49">
        <f t="shared" si="1"/>
        <v>0.66275727315175059</v>
      </c>
      <c r="Q8" s="49">
        <f t="shared" si="1"/>
        <v>0.66640217940454238</v>
      </c>
      <c r="R8" s="49">
        <f t="shared" si="1"/>
        <v>0.67003144633940637</v>
      </c>
      <c r="S8" s="49">
        <f t="shared" si="1"/>
        <v>0.67364477971208003</v>
      </c>
      <c r="T8" s="49">
        <f t="shared" si="1"/>
        <v>0.67724188974965227</v>
      </c>
      <c r="U8" s="49">
        <f t="shared" si="1"/>
        <v>0.6808224912174442</v>
      </c>
      <c r="V8" s="49">
        <f t="shared" si="1"/>
        <v>0.68438630348377749</v>
      </c>
      <c r="W8" s="49">
        <f t="shared" si="1"/>
        <v>0.68793305058260945</v>
      </c>
    </row>
    <row r="9" spans="1:23" x14ac:dyDescent="0.25">
      <c r="A9" s="130">
        <v>-3.5</v>
      </c>
      <c r="B9" s="49">
        <f t="shared" si="0"/>
        <v>2.3262907903552504E-4</v>
      </c>
      <c r="C9" s="49">
        <f t="shared" si="0"/>
        <v>2.2405334699109302E-4</v>
      </c>
      <c r="D9" s="49">
        <f t="shared" si="0"/>
        <v>2.1577339929471738E-4</v>
      </c>
      <c r="E9" s="49">
        <f t="shared" si="0"/>
        <v>2.0777983348062144E-4</v>
      </c>
      <c r="F9" s="49">
        <f t="shared" si="0"/>
        <v>2.0006351600732001E-4</v>
      </c>
      <c r="G9" s="49">
        <f t="shared" si="0"/>
        <v>1.926155756356333E-4</v>
      </c>
      <c r="H9" s="49">
        <f t="shared" si="0"/>
        <v>1.8542739693327775E-4</v>
      </c>
      <c r="I9" s="49">
        <f t="shared" si="0"/>
        <v>1.7849061390484743E-4</v>
      </c>
      <c r="J9" s="49">
        <f t="shared" si="0"/>
        <v>1.7179710374593045E-4</v>
      </c>
      <c r="K9" s="49">
        <f t="shared" si="0"/>
        <v>1.6533898072010957E-4</v>
      </c>
      <c r="L9" s="131"/>
      <c r="M9" s="128">
        <v>0.5</v>
      </c>
      <c r="N9" s="49">
        <f t="shared" si="1"/>
        <v>0.69146246127401312</v>
      </c>
      <c r="O9" s="49">
        <f t="shared" si="1"/>
        <v>0.69497426910248061</v>
      </c>
      <c r="P9" s="49">
        <f t="shared" si="1"/>
        <v>0.69846821245303381</v>
      </c>
      <c r="Q9" s="49">
        <f t="shared" si="1"/>
        <v>0.70194403460512356</v>
      </c>
      <c r="R9" s="49">
        <f t="shared" si="1"/>
        <v>0.70540148378430201</v>
      </c>
      <c r="S9" s="49">
        <f t="shared" si="1"/>
        <v>0.70884031321165364</v>
      </c>
      <c r="T9" s="49">
        <f t="shared" si="1"/>
        <v>0.71226028115097295</v>
      </c>
      <c r="U9" s="49">
        <f t="shared" si="1"/>
        <v>0.71566115095367588</v>
      </c>
      <c r="V9" s="49">
        <f t="shared" si="1"/>
        <v>0.7190426911014357</v>
      </c>
      <c r="W9" s="49">
        <f t="shared" si="1"/>
        <v>0.72240467524653507</v>
      </c>
    </row>
    <row r="10" spans="1:23" x14ac:dyDescent="0.25">
      <c r="A10" s="132">
        <v>-3.4</v>
      </c>
      <c r="B10" s="49">
        <f t="shared" si="0"/>
        <v>3.369292656768808E-4</v>
      </c>
      <c r="C10" s="49">
        <f t="shared" si="0"/>
        <v>3.2481439741887806E-4</v>
      </c>
      <c r="D10" s="49">
        <f t="shared" si="0"/>
        <v>3.1310567858119958E-4</v>
      </c>
      <c r="E10" s="49">
        <f t="shared" si="0"/>
        <v>3.0179062460863719E-4</v>
      </c>
      <c r="F10" s="49">
        <f t="shared" si="0"/>
        <v>2.908570932907428E-4</v>
      </c>
      <c r="G10" s="49">
        <f t="shared" si="0"/>
        <v>2.8029327681617738E-4</v>
      </c>
      <c r="H10" s="49">
        <f t="shared" si="0"/>
        <v>2.7008769396347416E-4</v>
      </c>
      <c r="I10" s="49">
        <f t="shared" si="0"/>
        <v>2.6022918242746669E-4</v>
      </c>
      <c r="J10" s="49">
        <f t="shared" si="0"/>
        <v>2.5070689128053755E-4</v>
      </c>
      <c r="K10" s="49">
        <f t="shared" si="0"/>
        <v>2.4151027356783598E-4</v>
      </c>
      <c r="L10" s="131"/>
      <c r="M10" s="133">
        <v>0.6</v>
      </c>
      <c r="N10" s="49">
        <f t="shared" si="1"/>
        <v>0.72574688224992645</v>
      </c>
      <c r="O10" s="49">
        <f t="shared" si="1"/>
        <v>0.72906909621699434</v>
      </c>
      <c r="P10" s="49">
        <f t="shared" si="1"/>
        <v>0.732371106531017</v>
      </c>
      <c r="Q10" s="49">
        <f t="shared" si="1"/>
        <v>0.73565270788432247</v>
      </c>
      <c r="R10" s="49">
        <f t="shared" si="1"/>
        <v>0.73891370030713843</v>
      </c>
      <c r="S10" s="49">
        <f t="shared" si="1"/>
        <v>0.74215388919413527</v>
      </c>
      <c r="T10" s="49">
        <f t="shared" si="1"/>
        <v>0.74537308532866386</v>
      </c>
      <c r="U10" s="49">
        <f t="shared" si="1"/>
        <v>0.74857110490468992</v>
      </c>
      <c r="V10" s="49">
        <f t="shared" si="1"/>
        <v>0.75174776954642952</v>
      </c>
      <c r="W10" s="49">
        <f t="shared" si="1"/>
        <v>0.75490290632569057</v>
      </c>
    </row>
    <row r="11" spans="1:23" x14ac:dyDescent="0.25">
      <c r="A11" s="130">
        <v>-3.3</v>
      </c>
      <c r="B11" s="49">
        <f t="shared" si="0"/>
        <v>4.8342414238377744E-4</v>
      </c>
      <c r="C11" s="49">
        <f t="shared" si="0"/>
        <v>4.6647985610754901E-4</v>
      </c>
      <c r="D11" s="49">
        <f t="shared" si="0"/>
        <v>4.5008724059211757E-4</v>
      </c>
      <c r="E11" s="49">
        <f t="shared" si="0"/>
        <v>4.342299203816562E-4</v>
      </c>
      <c r="F11" s="49">
        <f t="shared" si="0"/>
        <v>4.1889194945036979E-4</v>
      </c>
      <c r="G11" s="49">
        <f t="shared" si="0"/>
        <v>4.0405780186402156E-4</v>
      </c>
      <c r="H11" s="49">
        <f t="shared" si="0"/>
        <v>3.8971236258203158E-4</v>
      </c>
      <c r="I11" s="49">
        <f t="shared" si="0"/>
        <v>3.7584091840008391E-4</v>
      </c>
      <c r="J11" s="49">
        <f t="shared" si="0"/>
        <v>3.6242914903304382E-4</v>
      </c>
      <c r="K11" s="49">
        <f t="shared" si="0"/>
        <v>3.4946311833797158E-4</v>
      </c>
      <c r="L11" s="131"/>
      <c r="M11" s="128">
        <v>0.7</v>
      </c>
      <c r="N11" s="49">
        <f t="shared" si="1"/>
        <v>0.75803634777692697</v>
      </c>
      <c r="O11" s="49">
        <f t="shared" si="1"/>
        <v>0.76114793191001329</v>
      </c>
      <c r="P11" s="49">
        <f t="shared" si="1"/>
        <v>0.76423750222074882</v>
      </c>
      <c r="Q11" s="49">
        <f t="shared" si="1"/>
        <v>0.76730490769910253</v>
      </c>
      <c r="R11" s="49">
        <f t="shared" si="1"/>
        <v>0.77035000283520938</v>
      </c>
      <c r="S11" s="49">
        <f t="shared" si="1"/>
        <v>0.77337264762313174</v>
      </c>
      <c r="T11" s="49">
        <f t="shared" si="1"/>
        <v>0.77637270756240062</v>
      </c>
      <c r="U11" s="49">
        <f t="shared" si="1"/>
        <v>0.77935005365735044</v>
      </c>
      <c r="V11" s="49">
        <f t="shared" si="1"/>
        <v>0.78230456241426682</v>
      </c>
      <c r="W11" s="49">
        <f t="shared" si="1"/>
        <v>0.78523611583636277</v>
      </c>
    </row>
    <row r="12" spans="1:23" x14ac:dyDescent="0.25">
      <c r="A12" s="132">
        <v>-3.2</v>
      </c>
      <c r="B12" s="49">
        <f t="shared" si="0"/>
        <v>6.8713793791584719E-4</v>
      </c>
      <c r="C12" s="49">
        <f t="shared" si="0"/>
        <v>6.6367486143996716E-4</v>
      </c>
      <c r="D12" s="49">
        <f t="shared" si="0"/>
        <v>6.4095298366005486E-4</v>
      </c>
      <c r="E12" s="49">
        <f t="shared" si="0"/>
        <v>6.1895109038683426E-4</v>
      </c>
      <c r="F12" s="49">
        <f t="shared" si="0"/>
        <v>5.9764849793441559E-4</v>
      </c>
      <c r="G12" s="49">
        <f t="shared" si="0"/>
        <v>5.7702504239076603E-4</v>
      </c>
      <c r="H12" s="49">
        <f t="shared" si="0"/>
        <v>5.5706106902462128E-4</v>
      </c>
      <c r="I12" s="49">
        <f t="shared" si="0"/>
        <v>5.3773742182969503E-4</v>
      </c>
      <c r="J12" s="49">
        <f t="shared" si="0"/>
        <v>5.190354332069723E-4</v>
      </c>
      <c r="K12" s="49">
        <f t="shared" si="0"/>
        <v>5.0093691378572244E-4</v>
      </c>
      <c r="L12" s="131"/>
      <c r="M12" s="133">
        <v>0.8</v>
      </c>
      <c r="N12" s="49">
        <f t="shared" si="1"/>
        <v>0.78814460141660336</v>
      </c>
      <c r="O12" s="49">
        <f t="shared" si="1"/>
        <v>0.79102991212839835</v>
      </c>
      <c r="P12" s="49">
        <f t="shared" si="1"/>
        <v>0.79389194641418692</v>
      </c>
      <c r="Q12" s="49">
        <f t="shared" si="1"/>
        <v>0.79673060817193164</v>
      </c>
      <c r="R12" s="49">
        <f t="shared" si="1"/>
        <v>0.79954580673955034</v>
      </c>
      <c r="S12" s="49">
        <f t="shared" si="1"/>
        <v>0.80233745687730762</v>
      </c>
      <c r="T12" s="49">
        <f t="shared" si="1"/>
        <v>0.80510547874819172</v>
      </c>
      <c r="U12" s="49">
        <f t="shared" si="1"/>
        <v>0.80784979789630385</v>
      </c>
      <c r="V12" s="49">
        <f t="shared" si="1"/>
        <v>0.81057034522328786</v>
      </c>
      <c r="W12" s="49">
        <f t="shared" si="1"/>
        <v>0.81326705696282742</v>
      </c>
    </row>
    <row r="13" spans="1:23" x14ac:dyDescent="0.25">
      <c r="A13" s="134">
        <v>-3.1</v>
      </c>
      <c r="B13" s="135">
        <f t="shared" si="0"/>
        <v>9.676032132183561E-4</v>
      </c>
      <c r="C13" s="135">
        <f t="shared" si="0"/>
        <v>9.3543671951410031E-4</v>
      </c>
      <c r="D13" s="135">
        <f t="shared" si="0"/>
        <v>9.0425519982233952E-4</v>
      </c>
      <c r="E13" s="135">
        <f t="shared" si="0"/>
        <v>8.7403151563156744E-4</v>
      </c>
      <c r="F13" s="135">
        <f t="shared" si="0"/>
        <v>8.4473917345862643E-4</v>
      </c>
      <c r="G13" s="135">
        <f t="shared" si="0"/>
        <v>8.1635231282856167E-4</v>
      </c>
      <c r="H13" s="135">
        <f t="shared" si="0"/>
        <v>7.8884569437557184E-4</v>
      </c>
      <c r="I13" s="135">
        <f t="shared" si="0"/>
        <v>7.6219468806723459E-4</v>
      </c>
      <c r="J13" s="135">
        <f t="shared" si="0"/>
        <v>7.3637526155392961E-4</v>
      </c>
      <c r="K13" s="135">
        <f t="shared" si="0"/>
        <v>7.1136396864536315E-4</v>
      </c>
      <c r="L13" s="131"/>
      <c r="M13" s="136">
        <v>0.9</v>
      </c>
      <c r="N13" s="135">
        <f t="shared" si="1"/>
        <v>0.81593987465324047</v>
      </c>
      <c r="O13" s="135">
        <f t="shared" si="1"/>
        <v>0.81858874510820279</v>
      </c>
      <c r="P13" s="135">
        <f t="shared" si="1"/>
        <v>0.82121362038562828</v>
      </c>
      <c r="Q13" s="135">
        <f t="shared" si="1"/>
        <v>0.82381445775474216</v>
      </c>
      <c r="R13" s="135">
        <f t="shared" si="1"/>
        <v>0.82639121966137552</v>
      </c>
      <c r="S13" s="135">
        <f t="shared" si="1"/>
        <v>0.82894387369151823</v>
      </c>
      <c r="T13" s="135">
        <f t="shared" si="1"/>
        <v>0.83147239253316219</v>
      </c>
      <c r="U13" s="135">
        <f t="shared" si="1"/>
        <v>0.83397675393647042</v>
      </c>
      <c r="V13" s="135">
        <f t="shared" si="1"/>
        <v>0.83645694067230769</v>
      </c>
      <c r="W13" s="135">
        <f t="shared" si="1"/>
        <v>0.83891294048916909</v>
      </c>
    </row>
    <row r="14" spans="1:23" x14ac:dyDescent="0.25">
      <c r="A14" s="132">
        <v>-3</v>
      </c>
      <c r="B14" s="49">
        <f t="shared" si="0"/>
        <v>1.3498980316300933E-3</v>
      </c>
      <c r="C14" s="49">
        <f t="shared" si="0"/>
        <v>1.3062384487694675E-3</v>
      </c>
      <c r="D14" s="49">
        <f t="shared" si="0"/>
        <v>1.2638734276722969E-3</v>
      </c>
      <c r="E14" s="49">
        <f t="shared" si="0"/>
        <v>1.2227686935922593E-3</v>
      </c>
      <c r="F14" s="49">
        <f t="shared" si="0"/>
        <v>1.1828907431044044E-3</v>
      </c>
      <c r="G14" s="49">
        <f t="shared" si="0"/>
        <v>1.1442068310226975E-3</v>
      </c>
      <c r="H14" s="49">
        <f t="shared" si="0"/>
        <v>1.1066849574092469E-3</v>
      </c>
      <c r="I14" s="49">
        <f t="shared" si="0"/>
        <v>1.0702938546789222E-3</v>
      </c>
      <c r="J14" s="49">
        <f t="shared" si="0"/>
        <v>1.0350029748028415E-3</v>
      </c>
      <c r="K14" s="49">
        <f t="shared" si="0"/>
        <v>1.0007824766140115E-3</v>
      </c>
      <c r="L14" s="131"/>
      <c r="M14" s="133">
        <v>1</v>
      </c>
      <c r="N14" s="49">
        <f t="shared" si="1"/>
        <v>0.84134474606854304</v>
      </c>
      <c r="O14" s="49">
        <f t="shared" si="1"/>
        <v>0.84375235497874546</v>
      </c>
      <c r="P14" s="49">
        <f t="shared" si="1"/>
        <v>0.84613576962726511</v>
      </c>
      <c r="Q14" s="49">
        <f t="shared" si="1"/>
        <v>0.84849499721165633</v>
      </c>
      <c r="R14" s="49">
        <f t="shared" si="1"/>
        <v>0.85083004966901865</v>
      </c>
      <c r="S14" s="49">
        <f t="shared" si="1"/>
        <v>0.85314094362410409</v>
      </c>
      <c r="T14" s="49">
        <f t="shared" si="1"/>
        <v>0.85542770033609039</v>
      </c>
      <c r="U14" s="49">
        <f t="shared" si="1"/>
        <v>0.85769034564406077</v>
      </c>
      <c r="V14" s="49">
        <f t="shared" si="1"/>
        <v>0.85992890991123094</v>
      </c>
      <c r="W14" s="49">
        <f t="shared" si="1"/>
        <v>0.8621434279679645</v>
      </c>
    </row>
    <row r="15" spans="1:23" x14ac:dyDescent="0.25">
      <c r="A15" s="130">
        <v>-2.9</v>
      </c>
      <c r="B15" s="49">
        <f t="shared" si="0"/>
        <v>1.8658133003840378E-3</v>
      </c>
      <c r="C15" s="49">
        <f t="shared" si="0"/>
        <v>1.807143780806431E-3</v>
      </c>
      <c r="D15" s="49">
        <f t="shared" si="0"/>
        <v>1.7501569286760988E-3</v>
      </c>
      <c r="E15" s="49">
        <f t="shared" si="0"/>
        <v>1.6948100192772627E-3</v>
      </c>
      <c r="F15" s="49">
        <f t="shared" si="0"/>
        <v>1.6410612341569962E-3</v>
      </c>
      <c r="G15" s="49">
        <f t="shared" si="0"/>
        <v>1.5888696473648693E-3</v>
      </c>
      <c r="H15" s="49">
        <f t="shared" si="0"/>
        <v>1.538195211738057E-3</v>
      </c>
      <c r="I15" s="49">
        <f t="shared" si="0"/>
        <v>1.4889987452374655E-3</v>
      </c>
      <c r="J15" s="49">
        <f t="shared" si="0"/>
        <v>1.4412419173400134E-3</v>
      </c>
      <c r="K15" s="49">
        <f t="shared" si="0"/>
        <v>1.3948872354922507E-3</v>
      </c>
      <c r="L15" s="131"/>
      <c r="M15" s="128">
        <v>1.1000000000000001</v>
      </c>
      <c r="N15" s="49">
        <f t="shared" si="1"/>
        <v>0.86433393905361733</v>
      </c>
      <c r="O15" s="49">
        <f t="shared" si="1"/>
        <v>0.86650048675725277</v>
      </c>
      <c r="P15" s="49">
        <f t="shared" si="1"/>
        <v>0.86864311895726931</v>
      </c>
      <c r="Q15" s="49">
        <f t="shared" si="1"/>
        <v>0.8707618877599822</v>
      </c>
      <c r="R15" s="49">
        <f t="shared" si="1"/>
        <v>0.87285684943720176</v>
      </c>
      <c r="S15" s="49">
        <f t="shared" si="1"/>
        <v>0.87492806436284987</v>
      </c>
      <c r="T15" s="49">
        <f t="shared" si="1"/>
        <v>0.87697559694865668</v>
      </c>
      <c r="U15" s="49">
        <f t="shared" si="1"/>
        <v>0.87899951557898182</v>
      </c>
      <c r="V15" s="49">
        <f t="shared" si="1"/>
        <v>0.88099989254479938</v>
      </c>
      <c r="W15" s="49">
        <f t="shared" si="1"/>
        <v>0.88297680397689127</v>
      </c>
    </row>
    <row r="16" spans="1:23" x14ac:dyDescent="0.25">
      <c r="A16" s="132">
        <v>-2.8</v>
      </c>
      <c r="B16" s="49">
        <f t="shared" si="0"/>
        <v>2.5551303304279312E-3</v>
      </c>
      <c r="C16" s="49">
        <f t="shared" si="0"/>
        <v>2.4770749987858636E-3</v>
      </c>
      <c r="D16" s="49">
        <f t="shared" si="0"/>
        <v>2.4011824741892529E-3</v>
      </c>
      <c r="E16" s="49">
        <f t="shared" si="0"/>
        <v>2.3274002067315554E-3</v>
      </c>
      <c r="F16" s="49">
        <f t="shared" si="0"/>
        <v>2.2556766915423207E-3</v>
      </c>
      <c r="G16" s="49">
        <f t="shared" si="0"/>
        <v>2.1859614549132396E-3</v>
      </c>
      <c r="H16" s="49">
        <f t="shared" si="0"/>
        <v>2.1182050404046204E-3</v>
      </c>
      <c r="I16" s="49">
        <f t="shared" si="0"/>
        <v>2.0523589949397532E-3</v>
      </c>
      <c r="J16" s="49">
        <f t="shared" si="0"/>
        <v>1.9883758548943252E-3</v>
      </c>
      <c r="K16" s="49">
        <f t="shared" si="0"/>
        <v>1.9262091321878626E-3</v>
      </c>
      <c r="L16" s="131"/>
      <c r="M16" s="133">
        <v>1.2</v>
      </c>
      <c r="N16" s="49">
        <f t="shared" si="1"/>
        <v>0.88493032977829178</v>
      </c>
      <c r="O16" s="49">
        <f t="shared" si="1"/>
        <v>0.88686055355602278</v>
      </c>
      <c r="P16" s="49">
        <f t="shared" si="1"/>
        <v>0.88876756255216538</v>
      </c>
      <c r="Q16" s="49">
        <f t="shared" si="1"/>
        <v>0.89065144757430814</v>
      </c>
      <c r="R16" s="49">
        <f t="shared" si="1"/>
        <v>0.89251230292541306</v>
      </c>
      <c r="S16" s="49">
        <f t="shared" si="1"/>
        <v>0.89435022633314476</v>
      </c>
      <c r="T16" s="49">
        <f t="shared" si="1"/>
        <v>0.89616531887869966</v>
      </c>
      <c r="U16" s="49">
        <f t="shared" si="1"/>
        <v>0.89795768492518091</v>
      </c>
      <c r="V16" s="49">
        <f t="shared" si="1"/>
        <v>0.89972743204555794</v>
      </c>
      <c r="W16" s="49">
        <f t="shared" si="1"/>
        <v>0.90147467095025213</v>
      </c>
    </row>
    <row r="17" spans="1:23" x14ac:dyDescent="0.25">
      <c r="A17" s="130">
        <v>-2.7</v>
      </c>
      <c r="B17" s="49">
        <f t="shared" si="0"/>
        <v>3.4669738030406643E-3</v>
      </c>
      <c r="C17" s="49">
        <f t="shared" si="0"/>
        <v>3.3641604066691941E-3</v>
      </c>
      <c r="D17" s="49">
        <f t="shared" si="0"/>
        <v>3.2640958158913066E-3</v>
      </c>
      <c r="E17" s="49">
        <f t="shared" si="0"/>
        <v>3.1667162773577947E-3</v>
      </c>
      <c r="F17" s="49">
        <f t="shared" si="0"/>
        <v>3.071959218650487E-3</v>
      </c>
      <c r="G17" s="49">
        <f t="shared" si="0"/>
        <v>2.9797632350545551E-3</v>
      </c>
      <c r="H17" s="49">
        <f t="shared" si="0"/>
        <v>2.8900680762261443E-3</v>
      </c>
      <c r="I17" s="49">
        <f t="shared" si="0"/>
        <v>2.8028146327650242E-3</v>
      </c>
      <c r="J17" s="49">
        <f t="shared" si="0"/>
        <v>2.7179449227012539E-3</v>
      </c>
      <c r="K17" s="49">
        <f t="shared" si="0"/>
        <v>2.6354020779049505E-3</v>
      </c>
      <c r="L17" s="131"/>
      <c r="M17" s="128">
        <v>1.3</v>
      </c>
      <c r="N17" s="49">
        <f t="shared" si="1"/>
        <v>0.9031995154143897</v>
      </c>
      <c r="O17" s="49">
        <f t="shared" si="1"/>
        <v>0.90490208220476098</v>
      </c>
      <c r="P17" s="49">
        <f t="shared" si="1"/>
        <v>0.90658249100652821</v>
      </c>
      <c r="Q17" s="49">
        <f t="shared" si="1"/>
        <v>0.90824086434971918</v>
      </c>
      <c r="R17" s="49">
        <f t="shared" si="1"/>
        <v>0.90987732753554751</v>
      </c>
      <c r="S17" s="49">
        <f t="shared" si="1"/>
        <v>0.91149200856259804</v>
      </c>
      <c r="T17" s="49">
        <f t="shared" si="1"/>
        <v>0.91308503805291497</v>
      </c>
      <c r="U17" s="49">
        <f t="shared" si="1"/>
        <v>0.91465654917803307</v>
      </c>
      <c r="V17" s="49">
        <f t="shared" si="1"/>
        <v>0.91620667758498575</v>
      </c>
      <c r="W17" s="49">
        <f t="shared" si="1"/>
        <v>0.91773556132233114</v>
      </c>
    </row>
    <row r="18" spans="1:23" x14ac:dyDescent="0.25">
      <c r="A18" s="132">
        <v>-2.6</v>
      </c>
      <c r="B18" s="49">
        <f t="shared" si="0"/>
        <v>4.6611880237187476E-3</v>
      </c>
      <c r="C18" s="49">
        <f t="shared" si="0"/>
        <v>4.5271111329673241E-3</v>
      </c>
      <c r="D18" s="49">
        <f t="shared" si="0"/>
        <v>4.3964883481213092E-3</v>
      </c>
      <c r="E18" s="49">
        <f t="shared" si="0"/>
        <v>4.2692434090893508E-3</v>
      </c>
      <c r="F18" s="49">
        <f t="shared" si="0"/>
        <v>4.1453013610360367E-3</v>
      </c>
      <c r="G18" s="49">
        <f t="shared" si="0"/>
        <v>4.0245885427583044E-3</v>
      </c>
      <c r="H18" s="49">
        <f t="shared" si="0"/>
        <v>3.9070325748527717E-3</v>
      </c>
      <c r="I18" s="49">
        <f t="shared" si="0"/>
        <v>3.7925623476854869E-3</v>
      </c>
      <c r="J18" s="49">
        <f t="shared" si="0"/>
        <v>3.6811080091749787E-3</v>
      </c>
      <c r="K18" s="49">
        <f t="shared" si="0"/>
        <v>3.5726009523997363E-3</v>
      </c>
      <c r="L18" s="131"/>
      <c r="M18" s="133">
        <v>1.4</v>
      </c>
      <c r="N18" s="49">
        <f t="shared" si="1"/>
        <v>0.91924334076622893</v>
      </c>
      <c r="O18" s="49">
        <f t="shared" si="1"/>
        <v>0.92073015854660756</v>
      </c>
      <c r="P18" s="49">
        <f t="shared" si="1"/>
        <v>0.92219615947345368</v>
      </c>
      <c r="Q18" s="49">
        <f t="shared" si="1"/>
        <v>0.92364149046326083</v>
      </c>
      <c r="R18" s="49">
        <f t="shared" si="1"/>
        <v>0.92506630046567295</v>
      </c>
      <c r="S18" s="49">
        <f>NORMSDIST($M18+S$3)</f>
        <v>0.9264707403903516</v>
      </c>
      <c r="T18" s="49">
        <f t="shared" si="1"/>
        <v>0.92785496303410619</v>
      </c>
      <c r="U18" s="49">
        <f t="shared" si="1"/>
        <v>0.92921912300831444</v>
      </c>
      <c r="V18" s="49">
        <f t="shared" si="1"/>
        <v>0.93056337666666833</v>
      </c>
      <c r="W18" s="49">
        <f t="shared" si="1"/>
        <v>0.93188788203327455</v>
      </c>
    </row>
    <row r="19" spans="1:23" x14ac:dyDescent="0.25">
      <c r="A19" s="130">
        <v>-2.5</v>
      </c>
      <c r="B19" s="49">
        <f t="shared" si="0"/>
        <v>6.2096653257761331E-3</v>
      </c>
      <c r="C19" s="49">
        <f t="shared" si="0"/>
        <v>6.0365580804126653E-3</v>
      </c>
      <c r="D19" s="49">
        <f t="shared" si="0"/>
        <v>5.8677417153325615E-3</v>
      </c>
      <c r="E19" s="49">
        <f t="shared" si="0"/>
        <v>5.7031263329506993E-3</v>
      </c>
      <c r="F19" s="49">
        <f t="shared" si="0"/>
        <v>5.5426234430825993E-3</v>
      </c>
      <c r="G19" s="49">
        <f>NORMSDIST($A19-G$3)</f>
        <v>5.3861459540666869E-3</v>
      </c>
      <c r="H19" s="49">
        <f t="shared" si="0"/>
        <v>5.2336081635557816E-3</v>
      </c>
      <c r="I19" s="49">
        <f t="shared" si="0"/>
        <v>5.0849257489910355E-3</v>
      </c>
      <c r="J19" s="49">
        <f t="shared" si="0"/>
        <v>4.9400157577706438E-3</v>
      </c>
      <c r="K19" s="49">
        <f t="shared" si="0"/>
        <v>4.7987965971261785E-3</v>
      </c>
      <c r="L19" s="131"/>
      <c r="M19" s="128">
        <v>1.5</v>
      </c>
      <c r="N19" s="49">
        <f t="shared" si="1"/>
        <v>0.93319279873114191</v>
      </c>
      <c r="O19" s="49">
        <f t="shared" si="1"/>
        <v>0.93447828791108356</v>
      </c>
      <c r="P19" s="49">
        <f t="shared" si="1"/>
        <v>0.93574451218106425</v>
      </c>
      <c r="Q19" s="49">
        <f t="shared" si="1"/>
        <v>0.93699163553602161</v>
      </c>
      <c r="R19" s="49">
        <f t="shared" si="1"/>
        <v>0.93821982328818809</v>
      </c>
      <c r="S19" s="49">
        <f t="shared" si="1"/>
        <v>0.93942924199794098</v>
      </c>
      <c r="T19" s="49">
        <f t="shared" si="1"/>
        <v>0.94062005940520699</v>
      </c>
      <c r="U19" s="49">
        <f t="shared" si="1"/>
        <v>0.94179244436144693</v>
      </c>
      <c r="V19" s="49">
        <f t="shared" si="1"/>
        <v>0.94294656676224586</v>
      </c>
      <c r="W19" s="49">
        <f t="shared" si="1"/>
        <v>0.94408259748053058</v>
      </c>
    </row>
    <row r="20" spans="1:23" x14ac:dyDescent="0.25">
      <c r="A20" s="132">
        <v>-2.4</v>
      </c>
      <c r="B20" s="49">
        <f t="shared" si="0"/>
        <v>8.1975359245961311E-3</v>
      </c>
      <c r="C20" s="49">
        <f t="shared" si="0"/>
        <v>7.9762602607337287E-3</v>
      </c>
      <c r="D20" s="49">
        <f t="shared" si="0"/>
        <v>7.7602535505536425E-3</v>
      </c>
      <c r="E20" s="49">
        <f t="shared" si="0"/>
        <v>7.5494114163092126E-3</v>
      </c>
      <c r="F20" s="49">
        <f t="shared" si="0"/>
        <v>7.3436309553483459E-3</v>
      </c>
      <c r="G20" s="49">
        <f t="shared" si="0"/>
        <v>7.1428107352714204E-3</v>
      </c>
      <c r="H20" s="49">
        <f t="shared" si="0"/>
        <v>6.9468507886243092E-3</v>
      </c>
      <c r="I20" s="49">
        <f t="shared" si="0"/>
        <v>6.7556526071406503E-3</v>
      </c>
      <c r="J20" s="49">
        <f t="shared" si="0"/>
        <v>6.569119135546763E-3</v>
      </c>
      <c r="K20" s="49">
        <f t="shared" si="0"/>
        <v>6.3871547649431782E-3</v>
      </c>
      <c r="L20" s="131"/>
      <c r="M20" s="133">
        <v>1.6</v>
      </c>
      <c r="N20" s="49">
        <f t="shared" ref="N20:W35" si="2">NORMSDIST($M20+N$3)</f>
        <v>0.94520070830044201</v>
      </c>
      <c r="O20" s="49">
        <f t="shared" si="2"/>
        <v>0.94630107185188028</v>
      </c>
      <c r="P20" s="49">
        <f t="shared" si="2"/>
        <v>0.94738386154574794</v>
      </c>
      <c r="Q20" s="49">
        <f t="shared" si="2"/>
        <v>0.94844925150991066</v>
      </c>
      <c r="R20" s="49">
        <f t="shared" si="2"/>
        <v>0.94949741652589625</v>
      </c>
      <c r="S20" s="49">
        <f t="shared" si="2"/>
        <v>0.9505285319663519</v>
      </c>
      <c r="T20" s="49">
        <f t="shared" si="2"/>
        <v>0.95154277373327723</v>
      </c>
      <c r="U20" s="49">
        <f t="shared" si="2"/>
        <v>0.95254031819705265</v>
      </c>
      <c r="V20" s="49">
        <f t="shared" si="2"/>
        <v>0.95352134213628004</v>
      </c>
      <c r="W20" s="49">
        <f t="shared" si="2"/>
        <v>0.95448602267845017</v>
      </c>
    </row>
    <row r="21" spans="1:23" x14ac:dyDescent="0.25">
      <c r="A21" s="130">
        <v>-2.2999999999999998</v>
      </c>
      <c r="B21" s="49">
        <f t="shared" si="0"/>
        <v>1.0724110021675811E-2</v>
      </c>
      <c r="C21" s="49">
        <f t="shared" si="0"/>
        <v>1.044407706195109E-2</v>
      </c>
      <c r="D21" s="49">
        <f t="shared" si="0"/>
        <v>1.0170438668719676E-2</v>
      </c>
      <c r="E21" s="49">
        <f t="shared" si="0"/>
        <v>9.9030755591642573E-3</v>
      </c>
      <c r="F21" s="49">
        <f t="shared" si="0"/>
        <v>9.6418699453583289E-3</v>
      </c>
      <c r="G21" s="49">
        <f t="shared" si="0"/>
        <v>9.3867055348385835E-3</v>
      </c>
      <c r="H21" s="49">
        <f t="shared" si="0"/>
        <v>9.1374675305726672E-3</v>
      </c>
      <c r="I21" s="49">
        <f t="shared" si="0"/>
        <v>8.8940426303367806E-3</v>
      </c>
      <c r="J21" s="49">
        <f t="shared" si="0"/>
        <v>8.6563190255165429E-3</v>
      </c>
      <c r="K21" s="49">
        <f t="shared" si="0"/>
        <v>8.4241863993456938E-3</v>
      </c>
      <c r="L21" s="131"/>
      <c r="M21" s="128">
        <v>1.7</v>
      </c>
      <c r="N21" s="49">
        <f t="shared" si="2"/>
        <v>0.95543453724145699</v>
      </c>
      <c r="O21" s="49">
        <f t="shared" si="2"/>
        <v>0.95636706347596812</v>
      </c>
      <c r="P21" s="49">
        <f t="shared" si="2"/>
        <v>0.95728377920867114</v>
      </c>
      <c r="Q21" s="49">
        <f t="shared" si="2"/>
        <v>0.9581848623864051</v>
      </c>
      <c r="R21" s="49">
        <f t="shared" si="2"/>
        <v>0.95907049102119268</v>
      </c>
      <c r="S21" s="49">
        <f t="shared" si="2"/>
        <v>0.95994084313618289</v>
      </c>
      <c r="T21" s="49">
        <f t="shared" si="2"/>
        <v>0.96079609671251731</v>
      </c>
      <c r="U21" s="49">
        <f t="shared" si="2"/>
        <v>0.96163642963712881</v>
      </c>
      <c r="V21" s="49">
        <f t="shared" si="2"/>
        <v>0.96246201965148326</v>
      </c>
      <c r="W21" s="49">
        <f t="shared" si="2"/>
        <v>0.9632730443012737</v>
      </c>
    </row>
    <row r="22" spans="1:23" x14ac:dyDescent="0.25">
      <c r="A22" s="132">
        <v>-2.2000000000000002</v>
      </c>
      <c r="B22" s="49">
        <f t="shared" si="0"/>
        <v>1.3903447513498597E-2</v>
      </c>
      <c r="C22" s="49">
        <f t="shared" si="0"/>
        <v>1.3552581146419981E-2</v>
      </c>
      <c r="D22" s="49">
        <f t="shared" si="0"/>
        <v>1.3209383807256267E-2</v>
      </c>
      <c r="E22" s="49">
        <f t="shared" si="0"/>
        <v>1.287372143860201E-2</v>
      </c>
      <c r="F22" s="49">
        <f t="shared" si="0"/>
        <v>1.2545461435946561E-2</v>
      </c>
      <c r="G22" s="49">
        <f t="shared" si="0"/>
        <v>1.2224472655044696E-2</v>
      </c>
      <c r="H22" s="49">
        <f t="shared" si="0"/>
        <v>1.1910625418547057E-2</v>
      </c>
      <c r="I22" s="49">
        <f t="shared" si="0"/>
        <v>1.1603791521903535E-2</v>
      </c>
      <c r="J22" s="49">
        <f t="shared" si="0"/>
        <v>1.1303844238552777E-2</v>
      </c>
      <c r="K22" s="49">
        <f t="shared" si="0"/>
        <v>1.1010658324411384E-2</v>
      </c>
      <c r="L22" s="131"/>
      <c r="M22" s="133">
        <v>1.8</v>
      </c>
      <c r="N22" s="49">
        <f t="shared" si="2"/>
        <v>0.96406968088707423</v>
      </c>
      <c r="O22" s="49">
        <f t="shared" si="2"/>
        <v>0.9648521064159612</v>
      </c>
      <c r="P22" s="49">
        <f t="shared" si="2"/>
        <v>0.96562049755411006</v>
      </c>
      <c r="Q22" s="49">
        <f t="shared" si="2"/>
        <v>0.96637503058037166</v>
      </c>
      <c r="R22" s="49">
        <f t="shared" si="2"/>
        <v>0.96711588134083615</v>
      </c>
      <c r="S22" s="49">
        <f t="shared" si="2"/>
        <v>0.96784322520438626</v>
      </c>
      <c r="T22" s="49">
        <f t="shared" si="2"/>
        <v>0.96855723701924734</v>
      </c>
      <c r="U22" s="49">
        <f t="shared" si="2"/>
        <v>0.96925809107053407</v>
      </c>
      <c r="V22" s="49">
        <f t="shared" si="2"/>
        <v>0.96994596103880026</v>
      </c>
      <c r="W22" s="49">
        <f t="shared" si="2"/>
        <v>0.9706210199595906</v>
      </c>
    </row>
    <row r="23" spans="1:23" x14ac:dyDescent="0.25">
      <c r="A23" s="134">
        <v>-2.1</v>
      </c>
      <c r="B23" s="135">
        <f t="shared" si="0"/>
        <v>1.7864420562816546E-2</v>
      </c>
      <c r="C23" s="135">
        <f t="shared" si="0"/>
        <v>1.7429177937657091E-2</v>
      </c>
      <c r="D23" s="135">
        <f t="shared" si="0"/>
        <v>1.7003022647632787E-2</v>
      </c>
      <c r="E23" s="135">
        <f t="shared" si="0"/>
        <v>1.6585806683605007E-2</v>
      </c>
      <c r="F23" s="135">
        <f t="shared" si="0"/>
        <v>1.6177383372166076E-2</v>
      </c>
      <c r="G23" s="135">
        <f t="shared" si="0"/>
        <v>1.5777607391090503E-2</v>
      </c>
      <c r="H23" s="135">
        <f t="shared" si="0"/>
        <v>1.538633478392545E-2</v>
      </c>
      <c r="I23" s="135">
        <f t="shared" si="0"/>
        <v>1.5003422973732208E-2</v>
      </c>
      <c r="J23" s="135">
        <f t="shared" si="0"/>
        <v>1.4628730775989252E-2</v>
      </c>
      <c r="K23" s="135">
        <f t="shared" si="0"/>
        <v>1.4262118410668875E-2</v>
      </c>
      <c r="L23" s="131"/>
      <c r="M23" s="136">
        <v>1.9</v>
      </c>
      <c r="N23" s="135">
        <f t="shared" si="2"/>
        <v>0.97128344018399815</v>
      </c>
      <c r="O23" s="135">
        <f t="shared" si="2"/>
        <v>0.97193339334022744</v>
      </c>
      <c r="P23" s="135">
        <f t="shared" si="2"/>
        <v>0.9725710502961632</v>
      </c>
      <c r="Q23" s="135">
        <f t="shared" si="2"/>
        <v>0.97319658112294505</v>
      </c>
      <c r="R23" s="135">
        <f t="shared" si="2"/>
        <v>0.97381015505954727</v>
      </c>
      <c r="S23" s="135">
        <f t="shared" si="2"/>
        <v>0.97441194047836144</v>
      </c>
      <c r="T23" s="135">
        <f t="shared" si="2"/>
        <v>0.97500210485177952</v>
      </c>
      <c r="U23" s="135">
        <f t="shared" si="2"/>
        <v>0.97558081471977742</v>
      </c>
      <c r="V23" s="135">
        <f t="shared" si="2"/>
        <v>0.97614823565849151</v>
      </c>
      <c r="W23" s="135">
        <f t="shared" si="2"/>
        <v>0.97670453224978815</v>
      </c>
    </row>
    <row r="24" spans="1:23" x14ac:dyDescent="0.25">
      <c r="A24" s="132">
        <v>-2</v>
      </c>
      <c r="B24" s="49">
        <f t="shared" si="0"/>
        <v>2.2750131948179191E-2</v>
      </c>
      <c r="C24" s="49">
        <f t="shared" si="0"/>
        <v>2.2215594429431475E-2</v>
      </c>
      <c r="D24" s="49">
        <f t="shared" si="0"/>
        <v>2.1691693767646781E-2</v>
      </c>
      <c r="E24" s="49">
        <f t="shared" si="0"/>
        <v>2.1178269642672266E-2</v>
      </c>
      <c r="F24" s="49">
        <f t="shared" si="0"/>
        <v>2.0675162866070039E-2</v>
      </c>
      <c r="G24" s="49">
        <f t="shared" si="0"/>
        <v>2.0182215405704397E-2</v>
      </c>
      <c r="H24" s="49">
        <f t="shared" si="0"/>
        <v>1.9699270409376895E-2</v>
      </c>
      <c r="I24" s="49">
        <f t="shared" si="0"/>
        <v>1.9226172227517276E-2</v>
      </c>
      <c r="J24" s="49">
        <f t="shared" si="0"/>
        <v>1.8762766434937749E-2</v>
      </c>
      <c r="K24" s="49">
        <f t="shared" si="0"/>
        <v>1.8308899851658973E-2</v>
      </c>
      <c r="L24" s="131"/>
      <c r="M24" s="133">
        <v>2</v>
      </c>
      <c r="N24" s="49">
        <f t="shared" si="2"/>
        <v>0.97724986805182079</v>
      </c>
      <c r="O24" s="49">
        <f t="shared" si="2"/>
        <v>0.97778440557056856</v>
      </c>
      <c r="P24" s="49">
        <f t="shared" si="2"/>
        <v>0.97830830623235321</v>
      </c>
      <c r="Q24" s="49">
        <f t="shared" si="2"/>
        <v>0.97882173035732778</v>
      </c>
      <c r="R24" s="49">
        <f t="shared" si="2"/>
        <v>0.97932483713392993</v>
      </c>
      <c r="S24" s="49">
        <f t="shared" si="2"/>
        <v>0.97981778459429558</v>
      </c>
      <c r="T24" s="49">
        <f t="shared" si="2"/>
        <v>0.98030072959062309</v>
      </c>
      <c r="U24" s="49">
        <f t="shared" si="2"/>
        <v>0.98077382777248268</v>
      </c>
      <c r="V24" s="49">
        <f t="shared" si="2"/>
        <v>0.98123723356506221</v>
      </c>
      <c r="W24" s="49">
        <f t="shared" si="2"/>
        <v>0.98169110014834104</v>
      </c>
    </row>
    <row r="25" spans="1:23" x14ac:dyDescent="0.25">
      <c r="A25" s="130">
        <v>-1.9</v>
      </c>
      <c r="B25" s="49">
        <f t="shared" si="0"/>
        <v>2.87165598160018E-2</v>
      </c>
      <c r="C25" s="49">
        <f t="shared" si="0"/>
        <v>2.8066606659772512E-2</v>
      </c>
      <c r="D25" s="49">
        <f t="shared" si="0"/>
        <v>2.7428949703836809E-2</v>
      </c>
      <c r="E25" s="49">
        <f t="shared" si="0"/>
        <v>2.6803418877054948E-2</v>
      </c>
      <c r="F25" s="49">
        <f t="shared" si="0"/>
        <v>2.6189844940452685E-2</v>
      </c>
      <c r="G25" s="49">
        <f t="shared" si="0"/>
        <v>2.5588059521638607E-2</v>
      </c>
      <c r="H25" s="49">
        <f t="shared" si="0"/>
        <v>2.4997895148220432E-2</v>
      </c>
      <c r="I25" s="49">
        <f t="shared" si="0"/>
        <v>2.441918528022255E-2</v>
      </c>
      <c r="J25" s="49">
        <f t="shared" si="0"/>
        <v>2.3851764341508513E-2</v>
      </c>
      <c r="K25" s="49">
        <f t="shared" si="0"/>
        <v>2.329546775021182E-2</v>
      </c>
      <c r="L25" s="131"/>
      <c r="M25" s="128">
        <v>2.1</v>
      </c>
      <c r="N25" s="49">
        <f t="shared" si="2"/>
        <v>0.98213557943718344</v>
      </c>
      <c r="O25" s="49">
        <f t="shared" si="2"/>
        <v>0.98257082206234292</v>
      </c>
      <c r="P25" s="49">
        <f t="shared" si="2"/>
        <v>0.98299697735236724</v>
      </c>
      <c r="Q25" s="49">
        <f t="shared" si="2"/>
        <v>0.98341419331639501</v>
      </c>
      <c r="R25" s="49">
        <f t="shared" si="2"/>
        <v>0.98382261662783388</v>
      </c>
      <c r="S25" s="49">
        <f t="shared" si="2"/>
        <v>0.98422239260890954</v>
      </c>
      <c r="T25" s="49">
        <f t="shared" si="2"/>
        <v>0.98461366521607452</v>
      </c>
      <c r="U25" s="49">
        <f t="shared" si="2"/>
        <v>0.98499657702626775</v>
      </c>
      <c r="V25" s="49">
        <f t="shared" si="2"/>
        <v>0.98537126922401075</v>
      </c>
      <c r="W25" s="49">
        <f t="shared" si="2"/>
        <v>0.98573788158933118</v>
      </c>
    </row>
    <row r="26" spans="1:23" x14ac:dyDescent="0.25">
      <c r="A26" s="132">
        <v>-1.8</v>
      </c>
      <c r="B26" s="49">
        <f t="shared" si="0"/>
        <v>3.5930319112925789E-2</v>
      </c>
      <c r="C26" s="49">
        <f t="shared" si="0"/>
        <v>3.5147893584038796E-2</v>
      </c>
      <c r="D26" s="49">
        <f t="shared" si="0"/>
        <v>3.4379502445889977E-2</v>
      </c>
      <c r="E26" s="49">
        <f t="shared" si="0"/>
        <v>3.3624969419628316E-2</v>
      </c>
      <c r="F26" s="49">
        <f t="shared" si="0"/>
        <v>3.2884118659163887E-2</v>
      </c>
      <c r="G26" s="49">
        <f t="shared" si="0"/>
        <v>3.2156774795613713E-2</v>
      </c>
      <c r="H26" s="49">
        <f t="shared" si="0"/>
        <v>3.1442762980752693E-2</v>
      </c>
      <c r="I26" s="49">
        <f t="shared" si="0"/>
        <v>3.074190892946595E-2</v>
      </c>
      <c r="J26" s="49">
        <f t="shared" si="0"/>
        <v>3.0054038961199774E-2</v>
      </c>
      <c r="K26" s="49">
        <f t="shared" si="0"/>
        <v>2.9378980040409414E-2</v>
      </c>
      <c r="L26" s="131"/>
      <c r="M26" s="133">
        <v>2.2000000000000002</v>
      </c>
      <c r="N26" s="49">
        <f t="shared" si="2"/>
        <v>0.98609655248650141</v>
      </c>
      <c r="O26" s="49">
        <f t="shared" si="2"/>
        <v>0.98644741885358</v>
      </c>
      <c r="P26" s="49">
        <f t="shared" si="2"/>
        <v>0.98679061619274377</v>
      </c>
      <c r="Q26" s="49">
        <f t="shared" si="2"/>
        <v>0.98712627856139801</v>
      </c>
      <c r="R26" s="49">
        <f t="shared" si="2"/>
        <v>0.98745453856405341</v>
      </c>
      <c r="S26" s="49">
        <f t="shared" si="2"/>
        <v>0.98777552734495533</v>
      </c>
      <c r="T26" s="49">
        <f t="shared" si="2"/>
        <v>0.98808937458145296</v>
      </c>
      <c r="U26" s="49">
        <f t="shared" si="2"/>
        <v>0.98839620847809651</v>
      </c>
      <c r="V26" s="49">
        <f t="shared" si="2"/>
        <v>0.9886961557614472</v>
      </c>
      <c r="W26" s="49">
        <f t="shared" si="2"/>
        <v>0.98898934167558861</v>
      </c>
    </row>
    <row r="27" spans="1:23" x14ac:dyDescent="0.25">
      <c r="A27" s="130">
        <v>-1.7</v>
      </c>
      <c r="B27" s="49">
        <f t="shared" si="0"/>
        <v>4.4565462758543041E-2</v>
      </c>
      <c r="C27" s="49">
        <f t="shared" si="0"/>
        <v>4.3632936524031884E-2</v>
      </c>
      <c r="D27" s="49">
        <f t="shared" si="0"/>
        <v>4.2716220791328911E-2</v>
      </c>
      <c r="E27" s="49">
        <f t="shared" si="0"/>
        <v>4.181513761359492E-2</v>
      </c>
      <c r="F27" s="49">
        <f t="shared" si="0"/>
        <v>4.0929508978807365E-2</v>
      </c>
      <c r="G27" s="49">
        <f t="shared" si="0"/>
        <v>4.00591568638171E-2</v>
      </c>
      <c r="H27" s="49">
        <f t="shared" si="0"/>
        <v>3.9203903287482647E-2</v>
      </c>
      <c r="I27" s="49">
        <f t="shared" si="0"/>
        <v>3.8363570362871233E-2</v>
      </c>
      <c r="J27" s="49">
        <f t="shared" si="0"/>
        <v>3.7537980348516783E-2</v>
      </c>
      <c r="K27" s="49">
        <f t="shared" si="0"/>
        <v>3.6726955698726291E-2</v>
      </c>
      <c r="L27" s="131"/>
      <c r="M27" s="128">
        <v>2.2999999999999998</v>
      </c>
      <c r="N27" s="49">
        <f t="shared" si="2"/>
        <v>0.98927588997832416</v>
      </c>
      <c r="O27" s="49">
        <f t="shared" si="2"/>
        <v>0.98955592293804895</v>
      </c>
      <c r="P27" s="49">
        <f t="shared" si="2"/>
        <v>0.98982956133128031</v>
      </c>
      <c r="Q27" s="49">
        <f t="shared" si="2"/>
        <v>0.99009692444083575</v>
      </c>
      <c r="R27" s="49">
        <f t="shared" si="2"/>
        <v>0.99035813005464168</v>
      </c>
      <c r="S27" s="49">
        <f t="shared" si="2"/>
        <v>0.99061329446516144</v>
      </c>
      <c r="T27" s="49">
        <f t="shared" si="2"/>
        <v>0.99086253246942735</v>
      </c>
      <c r="U27" s="49">
        <f t="shared" si="2"/>
        <v>0.99110595736966323</v>
      </c>
      <c r="V27" s="49">
        <f t="shared" si="2"/>
        <v>0.99134368097448344</v>
      </c>
      <c r="W27" s="49">
        <f t="shared" si="2"/>
        <v>0.99157581360065428</v>
      </c>
    </row>
    <row r="28" spans="1:23" x14ac:dyDescent="0.25">
      <c r="A28" s="132">
        <v>-1.6</v>
      </c>
      <c r="B28" s="49">
        <f t="shared" si="0"/>
        <v>5.4799291699557967E-2</v>
      </c>
      <c r="C28" s="49">
        <f t="shared" si="0"/>
        <v>5.3698928148119669E-2</v>
      </c>
      <c r="D28" s="49">
        <f t="shared" si="0"/>
        <v>5.2616138454252052E-2</v>
      </c>
      <c r="E28" s="49">
        <f t="shared" si="0"/>
        <v>5.1550748490089351E-2</v>
      </c>
      <c r="F28" s="49">
        <f t="shared" si="0"/>
        <v>5.0502583474103704E-2</v>
      </c>
      <c r="G28" s="49">
        <f t="shared" si="0"/>
        <v>4.9471468033648082E-2</v>
      </c>
      <c r="H28" s="49">
        <f t="shared" si="0"/>
        <v>4.845722626672281E-2</v>
      </c>
      <c r="I28" s="49">
        <f t="shared" si="0"/>
        <v>4.7459681802947302E-2</v>
      </c>
      <c r="J28" s="49">
        <f t="shared" si="0"/>
        <v>4.6478657863720019E-2</v>
      </c>
      <c r="K28" s="49">
        <f t="shared" si="0"/>
        <v>4.551397732154977E-2</v>
      </c>
      <c r="L28" s="131"/>
      <c r="M28" s="133">
        <v>2.4</v>
      </c>
      <c r="N28" s="49">
        <f t="shared" si="2"/>
        <v>0.99180246407540384</v>
      </c>
      <c r="O28" s="49">
        <f t="shared" si="2"/>
        <v>0.99202373973926627</v>
      </c>
      <c r="P28" s="49">
        <f t="shared" si="2"/>
        <v>0.99223974644944635</v>
      </c>
      <c r="Q28" s="49">
        <f t="shared" si="2"/>
        <v>0.99245058858369084</v>
      </c>
      <c r="R28" s="49">
        <f t="shared" si="2"/>
        <v>0.99265636904465171</v>
      </c>
      <c r="S28" s="49">
        <f t="shared" si="2"/>
        <v>0.99285718926472855</v>
      </c>
      <c r="T28" s="49">
        <f t="shared" si="2"/>
        <v>0.99305314921137566</v>
      </c>
      <c r="U28" s="49">
        <f t="shared" si="2"/>
        <v>0.99324434739285938</v>
      </c>
      <c r="V28" s="49">
        <f t="shared" si="2"/>
        <v>0.99343088086445319</v>
      </c>
      <c r="W28" s="49">
        <f t="shared" si="2"/>
        <v>0.99361284523505677</v>
      </c>
    </row>
    <row r="29" spans="1:23" x14ac:dyDescent="0.25">
      <c r="A29" s="130">
        <v>-1.5</v>
      </c>
      <c r="B29" s="49">
        <f t="shared" si="0"/>
        <v>6.6807201268858057E-2</v>
      </c>
      <c r="C29" s="49">
        <f t="shared" si="0"/>
        <v>6.5521712088916481E-2</v>
      </c>
      <c r="D29" s="49">
        <f t="shared" si="0"/>
        <v>6.4255487818935766E-2</v>
      </c>
      <c r="E29" s="49">
        <f t="shared" si="0"/>
        <v>6.3008364463978436E-2</v>
      </c>
      <c r="F29" s="49">
        <f t="shared" si="0"/>
        <v>6.1780176711811879E-2</v>
      </c>
      <c r="G29" s="49">
        <f t="shared" ref="C29:K44" si="3">NORMSDIST($A29-G$3)</f>
        <v>6.057075800205898E-2</v>
      </c>
      <c r="H29" s="49">
        <f t="shared" si="3"/>
        <v>5.9379940594793013E-2</v>
      </c>
      <c r="I29" s="49">
        <f t="shared" si="3"/>
        <v>5.8207555638553017E-2</v>
      </c>
      <c r="J29" s="49">
        <f t="shared" si="3"/>
        <v>5.7053433237754192E-2</v>
      </c>
      <c r="K29" s="49">
        <f t="shared" si="3"/>
        <v>5.5917402519469417E-2</v>
      </c>
      <c r="L29" s="131"/>
      <c r="M29" s="128">
        <v>2.5</v>
      </c>
      <c r="N29" s="49">
        <f t="shared" si="2"/>
        <v>0.99379033467422384</v>
      </c>
      <c r="O29" s="49">
        <f t="shared" si="2"/>
        <v>0.9939634419195873</v>
      </c>
      <c r="P29" s="49">
        <f t="shared" si="2"/>
        <v>0.99413225828466745</v>
      </c>
      <c r="Q29" s="49">
        <f t="shared" si="2"/>
        <v>0.99429687366704933</v>
      </c>
      <c r="R29" s="49">
        <f t="shared" si="2"/>
        <v>0.99445737655691735</v>
      </c>
      <c r="S29" s="49">
        <f t="shared" si="2"/>
        <v>0.99461385404593328</v>
      </c>
      <c r="T29" s="49">
        <f t="shared" si="2"/>
        <v>0.99476639183644422</v>
      </c>
      <c r="U29" s="49">
        <f t="shared" si="2"/>
        <v>0.994915074251009</v>
      </c>
      <c r="V29" s="49">
        <f t="shared" si="2"/>
        <v>0.99505998424222941</v>
      </c>
      <c r="W29" s="49">
        <f t="shared" si="2"/>
        <v>0.99520120340287377</v>
      </c>
    </row>
    <row r="30" spans="1:23" x14ac:dyDescent="0.25">
      <c r="A30" s="132">
        <v>-1.4</v>
      </c>
      <c r="B30" s="49">
        <f t="shared" ref="B30:B43" si="4">NORMSDIST($A30-B$3)</f>
        <v>8.0756659233771053E-2</v>
      </c>
      <c r="C30" s="49">
        <f t="shared" si="3"/>
        <v>7.9269841453392401E-2</v>
      </c>
      <c r="D30" s="49">
        <f t="shared" si="3"/>
        <v>7.7803840526546347E-2</v>
      </c>
      <c r="E30" s="49">
        <f t="shared" si="3"/>
        <v>7.6358509536739116E-2</v>
      </c>
      <c r="F30" s="49">
        <f t="shared" si="3"/>
        <v>7.4933699534327061E-2</v>
      </c>
      <c r="G30" s="49">
        <f t="shared" si="3"/>
        <v>7.3529259609648373E-2</v>
      </c>
      <c r="H30" s="49">
        <f t="shared" si="3"/>
        <v>7.2145036965893777E-2</v>
      </c>
      <c r="I30" s="49">
        <f t="shared" si="3"/>
        <v>7.0780876991685518E-2</v>
      </c>
      <c r="J30" s="49">
        <f t="shared" si="3"/>
        <v>6.9436623333331698E-2</v>
      </c>
      <c r="K30" s="49">
        <f t="shared" si="3"/>
        <v>6.8112117966725436E-2</v>
      </c>
      <c r="L30" s="131"/>
      <c r="M30" s="133">
        <v>2.6</v>
      </c>
      <c r="N30" s="49">
        <f t="shared" si="2"/>
        <v>0.99533881197628127</v>
      </c>
      <c r="O30" s="49">
        <f t="shared" si="2"/>
        <v>0.99547288886703267</v>
      </c>
      <c r="P30" s="49">
        <f t="shared" si="2"/>
        <v>0.99560351165187866</v>
      </c>
      <c r="Q30" s="49">
        <f t="shared" si="2"/>
        <v>0.9957307565909107</v>
      </c>
      <c r="R30" s="49">
        <f t="shared" si="2"/>
        <v>0.99585469863896392</v>
      </c>
      <c r="S30" s="49">
        <f t="shared" si="2"/>
        <v>0.99597541145724167</v>
      </c>
      <c r="T30" s="49">
        <f t="shared" si="2"/>
        <v>0.99609296742514719</v>
      </c>
      <c r="U30" s="49">
        <f t="shared" si="2"/>
        <v>0.99620743765231456</v>
      </c>
      <c r="V30" s="49">
        <f t="shared" si="2"/>
        <v>0.99631889199082502</v>
      </c>
      <c r="W30" s="49">
        <f t="shared" si="2"/>
        <v>0.99642739904760025</v>
      </c>
    </row>
    <row r="31" spans="1:23" x14ac:dyDescent="0.25">
      <c r="A31" s="130">
        <v>-1.3</v>
      </c>
      <c r="B31" s="49">
        <f t="shared" si="4"/>
        <v>9.6800484585610316E-2</v>
      </c>
      <c r="C31" s="49">
        <f t="shared" si="3"/>
        <v>9.5097917795239018E-2</v>
      </c>
      <c r="D31" s="49">
        <f t="shared" si="3"/>
        <v>9.3417508993471773E-2</v>
      </c>
      <c r="E31" s="49">
        <f t="shared" si="3"/>
        <v>9.1759135650280807E-2</v>
      </c>
      <c r="F31" s="49">
        <f t="shared" si="3"/>
        <v>9.0122672464452463E-2</v>
      </c>
      <c r="G31" s="49">
        <f t="shared" si="3"/>
        <v>8.8507991437401998E-2</v>
      </c>
      <c r="H31" s="49">
        <f t="shared" si="3"/>
        <v>8.6914961947084993E-2</v>
      </c>
      <c r="I31" s="49">
        <f t="shared" si="3"/>
        <v>8.534345082196694E-2</v>
      </c>
      <c r="J31" s="49">
        <f t="shared" si="3"/>
        <v>8.3793322415014249E-2</v>
      </c>
      <c r="K31" s="49">
        <f t="shared" si="3"/>
        <v>8.2264438677668902E-2</v>
      </c>
      <c r="L31" s="131"/>
      <c r="M31" s="128">
        <v>2.7</v>
      </c>
      <c r="N31" s="49">
        <f t="shared" si="2"/>
        <v>0.99653302619695938</v>
      </c>
      <c r="O31" s="49">
        <f t="shared" si="2"/>
        <v>0.9966358395933308</v>
      </c>
      <c r="P31" s="49">
        <f t="shared" si="2"/>
        <v>0.99673590418410873</v>
      </c>
      <c r="Q31" s="49">
        <f t="shared" si="2"/>
        <v>0.99683328372264224</v>
      </c>
      <c r="R31" s="49">
        <f t="shared" si="2"/>
        <v>0.99692804078134956</v>
      </c>
      <c r="S31" s="49">
        <f t="shared" si="2"/>
        <v>0.99702023676494544</v>
      </c>
      <c r="T31" s="49">
        <f t="shared" si="2"/>
        <v>0.99710993192377384</v>
      </c>
      <c r="U31" s="49">
        <f t="shared" si="2"/>
        <v>0.99719718536723501</v>
      </c>
      <c r="V31" s="49">
        <f t="shared" si="2"/>
        <v>0.99728205507729872</v>
      </c>
      <c r="W31" s="49">
        <f t="shared" si="2"/>
        <v>0.99736459792209509</v>
      </c>
    </row>
    <row r="32" spans="1:23" x14ac:dyDescent="0.25">
      <c r="A32" s="132">
        <v>-1.2</v>
      </c>
      <c r="B32" s="49">
        <f t="shared" si="4"/>
        <v>0.11506967022170828</v>
      </c>
      <c r="C32" s="49">
        <f t="shared" si="3"/>
        <v>0.11313944644397728</v>
      </c>
      <c r="D32" s="49">
        <f t="shared" si="3"/>
        <v>0.11123243744783459</v>
      </c>
      <c r="E32" s="49">
        <f t="shared" si="3"/>
        <v>0.1093485524256919</v>
      </c>
      <c r="F32" s="49">
        <f t="shared" si="3"/>
        <v>0.1074876970745869</v>
      </c>
      <c r="G32" s="49">
        <f t="shared" si="3"/>
        <v>0.10564977366685525</v>
      </c>
      <c r="H32" s="49">
        <f t="shared" si="3"/>
        <v>0.10383468112130037</v>
      </c>
      <c r="I32" s="49">
        <f t="shared" si="3"/>
        <v>0.1020423150748191</v>
      </c>
      <c r="J32" s="49">
        <f t="shared" si="3"/>
        <v>0.10027256795444205</v>
      </c>
      <c r="K32" s="49">
        <f t="shared" si="3"/>
        <v>9.8525329049747812E-2</v>
      </c>
      <c r="L32" s="131"/>
      <c r="M32" s="133">
        <v>2.8</v>
      </c>
      <c r="N32" s="49">
        <f t="shared" si="2"/>
        <v>0.99744486966957202</v>
      </c>
      <c r="O32" s="49">
        <f t="shared" si="2"/>
        <v>0.99752292500121409</v>
      </c>
      <c r="P32" s="49">
        <f t="shared" si="2"/>
        <v>0.9975988175258107</v>
      </c>
      <c r="Q32" s="49">
        <f t="shared" si="2"/>
        <v>0.9976725997932685</v>
      </c>
      <c r="R32" s="49">
        <f t="shared" si="2"/>
        <v>0.99774432330845764</v>
      </c>
      <c r="S32" s="49">
        <f t="shared" si="2"/>
        <v>0.99781403854508677</v>
      </c>
      <c r="T32" s="49">
        <f t="shared" si="2"/>
        <v>0.99788179495959539</v>
      </c>
      <c r="U32" s="49">
        <f t="shared" si="2"/>
        <v>0.99794764100506028</v>
      </c>
      <c r="V32" s="49">
        <f t="shared" si="2"/>
        <v>0.99801162414510569</v>
      </c>
      <c r="W32" s="49">
        <f t="shared" si="2"/>
        <v>0.99807379086781212</v>
      </c>
    </row>
    <row r="33" spans="1:23" x14ac:dyDescent="0.25">
      <c r="A33" s="134">
        <v>-1.1000000000000001</v>
      </c>
      <c r="B33" s="135">
        <f t="shared" si="4"/>
        <v>0.13566606094638264</v>
      </c>
      <c r="C33" s="135">
        <f t="shared" si="3"/>
        <v>0.1334995132427472</v>
      </c>
      <c r="D33" s="135">
        <f t="shared" si="3"/>
        <v>0.13135688104273069</v>
      </c>
      <c r="E33" s="135">
        <f t="shared" si="3"/>
        <v>0.12923811224001777</v>
      </c>
      <c r="F33" s="135">
        <f t="shared" si="3"/>
        <v>0.12714315056279821</v>
      </c>
      <c r="G33" s="135">
        <f t="shared" si="3"/>
        <v>0.12507193563715019</v>
      </c>
      <c r="H33" s="135">
        <f t="shared" si="3"/>
        <v>0.12302440305134332</v>
      </c>
      <c r="I33" s="135">
        <f t="shared" si="3"/>
        <v>0.12100048442101816</v>
      </c>
      <c r="J33" s="135">
        <f t="shared" si="3"/>
        <v>0.11900010745520065</v>
      </c>
      <c r="K33" s="135">
        <f t="shared" si="3"/>
        <v>0.11702319602310868</v>
      </c>
      <c r="L33" s="131"/>
      <c r="M33" s="136">
        <v>2.9</v>
      </c>
      <c r="N33" s="135">
        <f t="shared" si="2"/>
        <v>0.99813418669961596</v>
      </c>
      <c r="O33" s="135">
        <f t="shared" si="2"/>
        <v>0.99819285621919351</v>
      </c>
      <c r="P33" s="135">
        <f t="shared" si="2"/>
        <v>0.99824984307132392</v>
      </c>
      <c r="Q33" s="135">
        <f t="shared" si="2"/>
        <v>0.99830518998072271</v>
      </c>
      <c r="R33" s="135">
        <f t="shared" si="2"/>
        <v>0.99835893876584303</v>
      </c>
      <c r="S33" s="135">
        <f t="shared" si="2"/>
        <v>0.99841113035263518</v>
      </c>
      <c r="T33" s="135">
        <f t="shared" si="2"/>
        <v>0.99846180478826196</v>
      </c>
      <c r="U33" s="135">
        <f t="shared" si="2"/>
        <v>0.99851100125476255</v>
      </c>
      <c r="V33" s="135">
        <f t="shared" si="2"/>
        <v>0.99855875808266004</v>
      </c>
      <c r="W33" s="135">
        <f t="shared" si="2"/>
        <v>0.9986051127645077</v>
      </c>
    </row>
    <row r="34" spans="1:23" x14ac:dyDescent="0.25">
      <c r="A34" s="132">
        <v>-1</v>
      </c>
      <c r="B34" s="49">
        <f t="shared" si="4"/>
        <v>0.15865525393145699</v>
      </c>
      <c r="C34" s="49">
        <f t="shared" si="3"/>
        <v>0.15624764502125454</v>
      </c>
      <c r="D34" s="49">
        <f t="shared" si="3"/>
        <v>0.15386423037273483</v>
      </c>
      <c r="E34" s="49">
        <f t="shared" si="3"/>
        <v>0.15150500278834367</v>
      </c>
      <c r="F34" s="49">
        <f t="shared" si="3"/>
        <v>0.1491699503309814</v>
      </c>
      <c r="G34" s="49">
        <f t="shared" si="3"/>
        <v>0.14685905637589594</v>
      </c>
      <c r="H34" s="49">
        <f t="shared" si="3"/>
        <v>0.14457229966390958</v>
      </c>
      <c r="I34" s="49">
        <f t="shared" si="3"/>
        <v>0.14230965435593917</v>
      </c>
      <c r="J34" s="49">
        <f t="shared" si="3"/>
        <v>0.14007109008876906</v>
      </c>
      <c r="K34" s="49">
        <f t="shared" si="3"/>
        <v>0.13785657203203544</v>
      </c>
      <c r="L34" s="131"/>
      <c r="M34" s="133">
        <v>3</v>
      </c>
      <c r="N34" s="49">
        <f t="shared" si="2"/>
        <v>0.9986501019683699</v>
      </c>
      <c r="O34" s="49">
        <f t="shared" si="2"/>
        <v>0.99869376155123057</v>
      </c>
      <c r="P34" s="49">
        <f t="shared" si="2"/>
        <v>0.99873612657232769</v>
      </c>
      <c r="Q34" s="49">
        <f t="shared" si="2"/>
        <v>0.99877723130640772</v>
      </c>
      <c r="R34" s="49">
        <f t="shared" si="2"/>
        <v>0.9988171092568956</v>
      </c>
      <c r="S34" s="49">
        <f t="shared" si="2"/>
        <v>0.99885579316897732</v>
      </c>
      <c r="T34" s="49">
        <f t="shared" si="2"/>
        <v>0.99889331504259071</v>
      </c>
      <c r="U34" s="49">
        <f t="shared" si="2"/>
        <v>0.99892970614532106</v>
      </c>
      <c r="V34" s="49">
        <f t="shared" si="2"/>
        <v>0.99896499702519714</v>
      </c>
      <c r="W34" s="49">
        <f t="shared" si="2"/>
        <v>0.99899921752338594</v>
      </c>
    </row>
    <row r="35" spans="1:23" x14ac:dyDescent="0.25">
      <c r="A35" s="130">
        <v>-0.9</v>
      </c>
      <c r="B35" s="49">
        <f t="shared" si="4"/>
        <v>0.1840601253467595</v>
      </c>
      <c r="C35" s="49">
        <f t="shared" si="3"/>
        <v>0.18141125489179724</v>
      </c>
      <c r="D35" s="49">
        <f t="shared" si="3"/>
        <v>0.17878637961437172</v>
      </c>
      <c r="E35" s="49">
        <f t="shared" si="3"/>
        <v>0.1761855422452579</v>
      </c>
      <c r="F35" s="49">
        <f t="shared" si="3"/>
        <v>0.17360878033862448</v>
      </c>
      <c r="G35" s="49">
        <f t="shared" si="3"/>
        <v>0.17105612630848177</v>
      </c>
      <c r="H35" s="49">
        <f t="shared" si="3"/>
        <v>0.16852760746683779</v>
      </c>
      <c r="I35" s="49">
        <f t="shared" si="3"/>
        <v>0.16602324606352964</v>
      </c>
      <c r="J35" s="49">
        <f t="shared" si="3"/>
        <v>0.16354305932769236</v>
      </c>
      <c r="K35" s="49">
        <f t="shared" si="3"/>
        <v>0.16108705951083091</v>
      </c>
      <c r="L35" s="131"/>
      <c r="M35" s="128">
        <v>3.1</v>
      </c>
      <c r="N35" s="49">
        <f t="shared" si="2"/>
        <v>0.99903239678678168</v>
      </c>
      <c r="O35" s="49">
        <f t="shared" si="2"/>
        <v>0.99906456328048587</v>
      </c>
      <c r="P35" s="49">
        <f t="shared" si="2"/>
        <v>0.99909574480017771</v>
      </c>
      <c r="Q35" s="49">
        <f t="shared" si="2"/>
        <v>0.99912596848436841</v>
      </c>
      <c r="R35" s="49">
        <f t="shared" si="2"/>
        <v>0.99915526082654138</v>
      </c>
      <c r="S35" s="49">
        <f t="shared" si="2"/>
        <v>0.99918364768717138</v>
      </c>
      <c r="T35" s="49">
        <f t="shared" si="2"/>
        <v>0.99921115430562446</v>
      </c>
      <c r="U35" s="49">
        <f t="shared" si="2"/>
        <v>0.99923780531193274</v>
      </c>
      <c r="V35" s="49">
        <f t="shared" si="2"/>
        <v>0.9992636247384461</v>
      </c>
      <c r="W35" s="49">
        <f t="shared" si="2"/>
        <v>0.99928863603135465</v>
      </c>
    </row>
    <row r="36" spans="1:23" x14ac:dyDescent="0.25">
      <c r="A36" s="132">
        <v>-0.8</v>
      </c>
      <c r="B36" s="49">
        <f t="shared" si="4"/>
        <v>0.21185539858339661</v>
      </c>
      <c r="C36" s="49">
        <f t="shared" si="3"/>
        <v>0.2089700878716016</v>
      </c>
      <c r="D36" s="49">
        <f t="shared" si="3"/>
        <v>0.20610805358581305</v>
      </c>
      <c r="E36" s="49">
        <f t="shared" si="3"/>
        <v>0.20326939182806841</v>
      </c>
      <c r="F36" s="49">
        <f t="shared" si="3"/>
        <v>0.20045419326044966</v>
      </c>
      <c r="G36" s="49">
        <f t="shared" si="3"/>
        <v>0.19766254312269235</v>
      </c>
      <c r="H36" s="49">
        <f t="shared" si="3"/>
        <v>0.19489452125180831</v>
      </c>
      <c r="I36" s="49">
        <f t="shared" si="3"/>
        <v>0.19215020210369613</v>
      </c>
      <c r="J36" s="49">
        <f t="shared" si="3"/>
        <v>0.18942965477671211</v>
      </c>
      <c r="K36" s="49">
        <f t="shared" si="3"/>
        <v>0.18673294303717258</v>
      </c>
      <c r="L36" s="131"/>
      <c r="M36" s="133">
        <v>3.2</v>
      </c>
      <c r="N36" s="49">
        <f t="shared" ref="N36:W44" si="5">NORMSDIST($M36+N$3)</f>
        <v>0.99931286206208414</v>
      </c>
      <c r="O36" s="49">
        <f t="shared" si="5"/>
        <v>0.99933632513856008</v>
      </c>
      <c r="P36" s="49">
        <f t="shared" si="5"/>
        <v>0.99935904701633993</v>
      </c>
      <c r="Q36" s="49">
        <f t="shared" si="5"/>
        <v>0.99938104890961321</v>
      </c>
      <c r="R36" s="49">
        <f t="shared" si="5"/>
        <v>0.99940235150206558</v>
      </c>
      <c r="S36" s="49">
        <f t="shared" si="5"/>
        <v>0.99942297495760923</v>
      </c>
      <c r="T36" s="49">
        <f t="shared" si="5"/>
        <v>0.99944293893097536</v>
      </c>
      <c r="U36" s="49">
        <f t="shared" si="5"/>
        <v>0.99946226257817028</v>
      </c>
      <c r="V36" s="49">
        <f t="shared" si="5"/>
        <v>0.99948096456679303</v>
      </c>
      <c r="W36" s="49">
        <f t="shared" si="5"/>
        <v>0.99949906308621428</v>
      </c>
    </row>
    <row r="37" spans="1:23" x14ac:dyDescent="0.25">
      <c r="A37" s="130">
        <v>-0.7</v>
      </c>
      <c r="B37" s="49">
        <f t="shared" si="4"/>
        <v>0.24196365222307298</v>
      </c>
      <c r="C37" s="49">
        <f t="shared" si="3"/>
        <v>0.23885206808998671</v>
      </c>
      <c r="D37" s="49">
        <f t="shared" si="3"/>
        <v>0.23576249777925118</v>
      </c>
      <c r="E37" s="49">
        <f t="shared" si="3"/>
        <v>0.23269509230089741</v>
      </c>
      <c r="F37" s="49">
        <f t="shared" si="3"/>
        <v>0.22964999716479059</v>
      </c>
      <c r="G37" s="49">
        <f t="shared" si="3"/>
        <v>0.22662735237686821</v>
      </c>
      <c r="H37" s="49">
        <f t="shared" si="3"/>
        <v>0.22362729243759941</v>
      </c>
      <c r="I37" s="49">
        <f t="shared" si="3"/>
        <v>0.22064994634264959</v>
      </c>
      <c r="J37" s="49">
        <f t="shared" si="3"/>
        <v>0.21769543758573318</v>
      </c>
      <c r="K37" s="49">
        <f t="shared" si="3"/>
        <v>0.21476388416363718</v>
      </c>
      <c r="L37" s="131"/>
      <c r="M37" s="128">
        <v>3.3</v>
      </c>
      <c r="N37" s="49">
        <f t="shared" si="5"/>
        <v>0.99951657585761622</v>
      </c>
      <c r="O37" s="49">
        <f t="shared" si="5"/>
        <v>0.99953352014389241</v>
      </c>
      <c r="P37" s="49">
        <f t="shared" si="5"/>
        <v>0.99954991275940785</v>
      </c>
      <c r="Q37" s="49">
        <f t="shared" si="5"/>
        <v>0.99956577007961833</v>
      </c>
      <c r="R37" s="49">
        <f t="shared" si="5"/>
        <v>0.99958110805054967</v>
      </c>
      <c r="S37" s="49">
        <f t="shared" si="5"/>
        <v>0.99959594219813597</v>
      </c>
      <c r="T37" s="49">
        <f t="shared" si="5"/>
        <v>0.99961028763741799</v>
      </c>
      <c r="U37" s="49">
        <f t="shared" si="5"/>
        <v>0.99962415908159996</v>
      </c>
      <c r="V37" s="49">
        <f t="shared" si="5"/>
        <v>0.99963757085096694</v>
      </c>
      <c r="W37" s="49">
        <f t="shared" si="5"/>
        <v>0.99965053688166206</v>
      </c>
    </row>
    <row r="38" spans="1:23" x14ac:dyDescent="0.25">
      <c r="A38" s="132">
        <v>-0.6</v>
      </c>
      <c r="B38" s="49">
        <f t="shared" si="4"/>
        <v>0.27425311775007355</v>
      </c>
      <c r="C38" s="49">
        <f t="shared" si="3"/>
        <v>0.27093090378300566</v>
      </c>
      <c r="D38" s="49">
        <f t="shared" si="3"/>
        <v>0.267628893468983</v>
      </c>
      <c r="E38" s="49">
        <f t="shared" si="3"/>
        <v>0.26434729211567748</v>
      </c>
      <c r="F38" s="49">
        <f t="shared" si="3"/>
        <v>0.26108629969286151</v>
      </c>
      <c r="G38" s="49">
        <f t="shared" si="3"/>
        <v>0.25784611080586467</v>
      </c>
      <c r="H38" s="49">
        <f t="shared" si="3"/>
        <v>0.25462691467133614</v>
      </c>
      <c r="I38" s="49">
        <f t="shared" si="3"/>
        <v>0.25142889509531008</v>
      </c>
      <c r="J38" s="49">
        <f t="shared" si="3"/>
        <v>0.24825223045357048</v>
      </c>
      <c r="K38" s="49">
        <f t="shared" si="3"/>
        <v>0.24509709367430943</v>
      </c>
      <c r="L38" s="131"/>
      <c r="M38" s="133">
        <v>3.4</v>
      </c>
      <c r="N38" s="49">
        <f t="shared" si="5"/>
        <v>0.99966307073432314</v>
      </c>
      <c r="O38" s="49">
        <f t="shared" si="5"/>
        <v>0.99967518560258117</v>
      </c>
      <c r="P38" s="49">
        <f t="shared" si="5"/>
        <v>0.99968689432141877</v>
      </c>
      <c r="Q38" s="49">
        <f t="shared" si="5"/>
        <v>0.99969820937539133</v>
      </c>
      <c r="R38" s="49">
        <f t="shared" si="5"/>
        <v>0.9997091429067092</v>
      </c>
      <c r="S38" s="49">
        <f t="shared" si="5"/>
        <v>0.99971970672318378</v>
      </c>
      <c r="T38" s="49">
        <f t="shared" si="5"/>
        <v>0.99972991230603647</v>
      </c>
      <c r="U38" s="49">
        <f t="shared" si="5"/>
        <v>0.99973977081757248</v>
      </c>
      <c r="V38" s="49">
        <f t="shared" si="5"/>
        <v>0.99974929310871952</v>
      </c>
      <c r="W38" s="49">
        <f t="shared" si="5"/>
        <v>0.99975848972643211</v>
      </c>
    </row>
    <row r="39" spans="1:23" x14ac:dyDescent="0.25">
      <c r="A39" s="130">
        <v>-0.5</v>
      </c>
      <c r="B39" s="49">
        <f t="shared" si="4"/>
        <v>0.30853753872598688</v>
      </c>
      <c r="C39" s="49">
        <f t="shared" si="3"/>
        <v>0.30502573089751939</v>
      </c>
      <c r="D39" s="49">
        <f t="shared" si="3"/>
        <v>0.30153178754696619</v>
      </c>
      <c r="E39" s="49">
        <f t="shared" si="3"/>
        <v>0.29805596539487639</v>
      </c>
      <c r="F39" s="49">
        <f t="shared" si="3"/>
        <v>0.29459851621569799</v>
      </c>
      <c r="G39" s="49">
        <f t="shared" si="3"/>
        <v>0.29115968678834636</v>
      </c>
      <c r="H39" s="49">
        <f t="shared" si="3"/>
        <v>0.28773971884902705</v>
      </c>
      <c r="I39" s="49">
        <f t="shared" si="3"/>
        <v>0.28433884904632412</v>
      </c>
      <c r="J39" s="49">
        <f t="shared" si="3"/>
        <v>0.2809573088985643</v>
      </c>
      <c r="K39" s="49">
        <f t="shared" si="3"/>
        <v>0.27759532475346493</v>
      </c>
      <c r="L39" s="131"/>
      <c r="M39" s="128">
        <v>3.5</v>
      </c>
      <c r="N39" s="49">
        <f t="shared" si="5"/>
        <v>0.99976737092096446</v>
      </c>
      <c r="O39" s="49">
        <f t="shared" si="5"/>
        <v>0.99977594665300895</v>
      </c>
      <c r="P39" s="49">
        <f t="shared" si="5"/>
        <v>0.99978422660070532</v>
      </c>
      <c r="Q39" s="49">
        <f t="shared" si="5"/>
        <v>0.99979222016651936</v>
      </c>
      <c r="R39" s="49">
        <f t="shared" si="5"/>
        <v>0.99979993648399268</v>
      </c>
      <c r="S39" s="49">
        <f t="shared" si="5"/>
        <v>0.99980738442436434</v>
      </c>
      <c r="T39" s="49">
        <f t="shared" si="5"/>
        <v>0.99981457260306672</v>
      </c>
      <c r="U39" s="49">
        <f t="shared" si="5"/>
        <v>0.99982150938609515</v>
      </c>
      <c r="V39" s="49">
        <f t="shared" si="5"/>
        <v>0.99982820289625407</v>
      </c>
      <c r="W39" s="49">
        <f t="shared" si="5"/>
        <v>0.99983466101927987</v>
      </c>
    </row>
    <row r="40" spans="1:23" x14ac:dyDescent="0.25">
      <c r="A40" s="132">
        <v>-0.4</v>
      </c>
      <c r="B40" s="49">
        <f t="shared" si="4"/>
        <v>0.34457825838967576</v>
      </c>
      <c r="C40" s="49">
        <f t="shared" si="3"/>
        <v>0.34090297377232259</v>
      </c>
      <c r="D40" s="49">
        <f t="shared" si="3"/>
        <v>0.33724272684824946</v>
      </c>
      <c r="E40" s="49">
        <f t="shared" si="3"/>
        <v>0.33359782059545762</v>
      </c>
      <c r="F40" s="49">
        <f t="shared" si="3"/>
        <v>0.32996855366059363</v>
      </c>
      <c r="G40" s="49">
        <f t="shared" si="3"/>
        <v>0.32635522028791997</v>
      </c>
      <c r="H40" s="49">
        <f t="shared" si="3"/>
        <v>0.32275811025034773</v>
      </c>
      <c r="I40" s="49">
        <f t="shared" si="3"/>
        <v>0.3191775087825558</v>
      </c>
      <c r="J40" s="49">
        <f t="shared" si="3"/>
        <v>0.31561369651622251</v>
      </c>
      <c r="K40" s="49">
        <f t="shared" si="3"/>
        <v>0.31206694941739055</v>
      </c>
      <c r="L40" s="131"/>
      <c r="M40" s="133">
        <v>3.6</v>
      </c>
      <c r="N40" s="49">
        <f t="shared" si="5"/>
        <v>0.99984089140984245</v>
      </c>
      <c r="O40" s="49">
        <f t="shared" si="5"/>
        <v>0.99984690149742628</v>
      </c>
      <c r="P40" s="49">
        <f t="shared" si="5"/>
        <v>0.99985269849209257</v>
      </c>
      <c r="Q40" s="49">
        <f t="shared" si="5"/>
        <v>0.99985828939012422</v>
      </c>
      <c r="R40" s="49">
        <f t="shared" si="5"/>
        <v>0.99986368097955425</v>
      </c>
      <c r="S40" s="49">
        <f t="shared" si="5"/>
        <v>0.99986887984557948</v>
      </c>
      <c r="T40" s="49">
        <f t="shared" si="5"/>
        <v>0.99987389237586155</v>
      </c>
      <c r="U40" s="49">
        <f t="shared" si="5"/>
        <v>0.9998787247657146</v>
      </c>
      <c r="V40" s="49">
        <f t="shared" si="5"/>
        <v>0.99988338302318458</v>
      </c>
      <c r="W40" s="49">
        <f t="shared" si="5"/>
        <v>0.99988787297401771</v>
      </c>
    </row>
    <row r="41" spans="1:23" x14ac:dyDescent="0.25">
      <c r="A41" s="130">
        <v>-0.3</v>
      </c>
      <c r="B41" s="49">
        <f t="shared" si="4"/>
        <v>0.38208857781104733</v>
      </c>
      <c r="C41" s="49">
        <f t="shared" si="3"/>
        <v>0.37828047817798072</v>
      </c>
      <c r="D41" s="49">
        <f t="shared" si="3"/>
        <v>0.37448416527667994</v>
      </c>
      <c r="E41" s="49">
        <f t="shared" si="3"/>
        <v>0.37069998105934648</v>
      </c>
      <c r="F41" s="49">
        <f t="shared" si="3"/>
        <v>0.36692826396397193</v>
      </c>
      <c r="G41" s="49">
        <f t="shared" si="3"/>
        <v>0.3631693488243809</v>
      </c>
      <c r="H41" s="49">
        <f t="shared" si="3"/>
        <v>0.35942356678200876</v>
      </c>
      <c r="I41" s="49">
        <f t="shared" si="3"/>
        <v>0.35569124519945322</v>
      </c>
      <c r="J41" s="49">
        <f t="shared" si="3"/>
        <v>0.35197270757583721</v>
      </c>
      <c r="K41" s="49">
        <f t="shared" si="3"/>
        <v>0.34826827346401756</v>
      </c>
      <c r="L41" s="131"/>
      <c r="M41" s="128">
        <v>3.7</v>
      </c>
      <c r="N41" s="49">
        <f t="shared" si="5"/>
        <v>0.99989220026652259</v>
      </c>
      <c r="O41" s="49">
        <f t="shared" si="5"/>
        <v>0.99989637037632595</v>
      </c>
      <c r="P41" s="49">
        <f t="shared" si="5"/>
        <v>0.99990038861102404</v>
      </c>
      <c r="Q41" s="49">
        <f t="shared" si="5"/>
        <v>0.9999042601147311</v>
      </c>
      <c r="R41" s="49">
        <f t="shared" si="5"/>
        <v>0.99990798987252594</v>
      </c>
      <c r="S41" s="49">
        <f t="shared" si="5"/>
        <v>0.99991158271479919</v>
      </c>
      <c r="T41" s="49">
        <f t="shared" si="5"/>
        <v>0.99991504332150205</v>
      </c>
      <c r="U41" s="49">
        <f t="shared" si="5"/>
        <v>0.99991837622629731</v>
      </c>
      <c r="V41" s="49">
        <f t="shared" si="5"/>
        <v>0.99992158582061641</v>
      </c>
      <c r="W41" s="49">
        <f t="shared" si="5"/>
        <v>0.99992467635762128</v>
      </c>
    </row>
    <row r="42" spans="1:23" x14ac:dyDescent="0.25">
      <c r="A42" s="132">
        <v>-0.2</v>
      </c>
      <c r="B42" s="49">
        <f t="shared" si="4"/>
        <v>0.42074029056089696</v>
      </c>
      <c r="C42" s="49">
        <f t="shared" si="3"/>
        <v>0.41683383651755768</v>
      </c>
      <c r="D42" s="49">
        <f t="shared" si="3"/>
        <v>0.41293557735178538</v>
      </c>
      <c r="E42" s="49">
        <f t="shared" si="3"/>
        <v>0.40904588485799409</v>
      </c>
      <c r="F42" s="49">
        <f t="shared" si="3"/>
        <v>0.40516512830220414</v>
      </c>
      <c r="G42" s="49">
        <f t="shared" si="3"/>
        <v>0.4012936743170763</v>
      </c>
      <c r="H42" s="49">
        <f t="shared" si="3"/>
        <v>0.39743188679823949</v>
      </c>
      <c r="I42" s="49">
        <f t="shared" si="3"/>
        <v>0.39358012680196047</v>
      </c>
      <c r="J42" s="49">
        <f t="shared" si="3"/>
        <v>0.38973875244420275</v>
      </c>
      <c r="K42" s="49">
        <f t="shared" si="3"/>
        <v>0.38590811880112263</v>
      </c>
      <c r="L42" s="131"/>
      <c r="M42" s="133">
        <v>3.8</v>
      </c>
      <c r="N42" s="49">
        <f t="shared" si="5"/>
        <v>0.99992765195607491</v>
      </c>
      <c r="O42" s="49">
        <f t="shared" si="5"/>
        <v>0.99993051660412013</v>
      </c>
      <c r="P42" s="49">
        <f t="shared" si="5"/>
        <v>0.99993327416297029</v>
      </c>
      <c r="Q42" s="49">
        <f t="shared" si="5"/>
        <v>0.99993592837051115</v>
      </c>
      <c r="R42" s="49">
        <f t="shared" si="5"/>
        <v>0.99993848284481679</v>
      </c>
      <c r="S42" s="49">
        <f t="shared" si="5"/>
        <v>0.99994094108758103</v>
      </c>
      <c r="T42" s="49">
        <f t="shared" si="5"/>
        <v>0.99994330648746577</v>
      </c>
      <c r="U42" s="49">
        <f t="shared" si="5"/>
        <v>0.99994558232336628</v>
      </c>
      <c r="V42" s="49">
        <f t="shared" si="5"/>
        <v>0.99994777176759819</v>
      </c>
      <c r="W42" s="49">
        <f t="shared" si="5"/>
        <v>0.9999498778890038</v>
      </c>
    </row>
    <row r="43" spans="1:23" x14ac:dyDescent="0.25">
      <c r="A43" s="130">
        <v>-0.1</v>
      </c>
      <c r="B43" s="49">
        <f t="shared" si="4"/>
        <v>0.46017216272297101</v>
      </c>
      <c r="C43" s="49">
        <f t="shared" si="3"/>
        <v>0.45620468745768322</v>
      </c>
      <c r="D43" s="49">
        <f t="shared" si="3"/>
        <v>0.45224157397941611</v>
      </c>
      <c r="E43" s="49">
        <f t="shared" si="3"/>
        <v>0.44828321334543886</v>
      </c>
      <c r="F43" s="49">
        <f t="shared" si="3"/>
        <v>0.44432999519409355</v>
      </c>
      <c r="G43" s="49">
        <f t="shared" si="3"/>
        <v>0.44038230762975744</v>
      </c>
      <c r="H43" s="49">
        <f t="shared" si="3"/>
        <v>0.43644053710856717</v>
      </c>
      <c r="I43" s="49">
        <f t="shared" si="3"/>
        <v>0.43250506832496155</v>
      </c>
      <c r="J43" s="49">
        <f t="shared" si="3"/>
        <v>0.42857628409909926</v>
      </c>
      <c r="K43" s="49">
        <f t="shared" si="3"/>
        <v>0.42465456526520451</v>
      </c>
      <c r="L43" s="131"/>
      <c r="M43" s="128">
        <v>3.9</v>
      </c>
      <c r="N43" s="49">
        <f t="shared" si="5"/>
        <v>0.99995190365598241</v>
      </c>
      <c r="O43" s="49">
        <f t="shared" si="5"/>
        <v>0.99995385193944375</v>
      </c>
      <c r="P43" s="49">
        <f t="shared" si="5"/>
        <v>0.9999557255156879</v>
      </c>
      <c r="Q43" s="49">
        <f t="shared" si="5"/>
        <v>0.99995752706921126</v>
      </c>
      <c r="R43" s="49">
        <f t="shared" si="5"/>
        <v>0.99995925919544149</v>
      </c>
      <c r="S43" s="49">
        <f t="shared" si="5"/>
        <v>0.99996092440340223</v>
      </c>
      <c r="T43" s="49">
        <f t="shared" si="5"/>
        <v>0.99996252511830896</v>
      </c>
      <c r="U43" s="49">
        <f t="shared" si="5"/>
        <v>0.99996406368409718</v>
      </c>
      <c r="V43" s="49">
        <f t="shared" si="5"/>
        <v>0.99996554236588497</v>
      </c>
      <c r="W43" s="49">
        <f t="shared" si="5"/>
        <v>0.99996696335237056</v>
      </c>
    </row>
    <row r="44" spans="1:23" x14ac:dyDescent="0.25">
      <c r="A44" s="132">
        <v>0</v>
      </c>
      <c r="B44" s="49">
        <f>NORMSDIST($A44-B$3)</f>
        <v>0.5</v>
      </c>
      <c r="C44" s="49">
        <f t="shared" si="3"/>
        <v>0.4960106436853684</v>
      </c>
      <c r="D44" s="49">
        <f t="shared" si="3"/>
        <v>0.492021686283098</v>
      </c>
      <c r="E44" s="49">
        <f t="shared" si="3"/>
        <v>0.48803352658588733</v>
      </c>
      <c r="F44" s="49">
        <f t="shared" si="3"/>
        <v>0.48404656314716926</v>
      </c>
      <c r="G44" s="49">
        <f t="shared" si="3"/>
        <v>0.48006119416162751</v>
      </c>
      <c r="H44" s="49">
        <f t="shared" si="3"/>
        <v>0.47607781734589316</v>
      </c>
      <c r="I44" s="49">
        <f t="shared" si="3"/>
        <v>0.47209682981947887</v>
      </c>
      <c r="J44" s="49">
        <f t="shared" si="3"/>
        <v>0.46811862798601261</v>
      </c>
      <c r="K44" s="49">
        <f t="shared" si="3"/>
        <v>0.46414360741482791</v>
      </c>
      <c r="L44" s="131"/>
      <c r="M44" s="133">
        <v>4</v>
      </c>
      <c r="N44" s="49">
        <f t="shared" si="5"/>
        <v>0.99996832875816688</v>
      </c>
      <c r="O44" s="49">
        <f t="shared" si="5"/>
        <v>0.99996964062607341</v>
      </c>
      <c r="P44" s="49">
        <f t="shared" si="5"/>
        <v>0.99997090092928809</v>
      </c>
      <c r="Q44" s="49">
        <f t="shared" si="5"/>
        <v>0.99997211157355947</v>
      </c>
      <c r="R44" s="49">
        <f t="shared" si="5"/>
        <v>0.99997327439928052</v>
      </c>
      <c r="S44" s="49">
        <f t="shared" si="5"/>
        <v>0.99997439118352593</v>
      </c>
      <c r="T44" s="49">
        <f t="shared" si="5"/>
        <v>0.9999754636420336</v>
      </c>
      <c r="U44" s="49">
        <f t="shared" si="5"/>
        <v>0.99997649343113137</v>
      </c>
      <c r="V44" s="49">
        <f t="shared" si="5"/>
        <v>0.99997748214961146</v>
      </c>
      <c r="W44" s="49">
        <f t="shared" si="5"/>
        <v>0.99997843134055187</v>
      </c>
    </row>
    <row r="45" spans="1:23" x14ac:dyDescent="0.25">
      <c r="M45" s="1"/>
    </row>
    <row r="46" spans="1:23" x14ac:dyDescent="0.25">
      <c r="M46" s="1"/>
      <c r="W46" s="29" t="s">
        <v>253</v>
      </c>
    </row>
  </sheetData>
  <mergeCells count="1">
    <mergeCell ref="A1:W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vt:i4>
      </vt:variant>
    </vt:vector>
  </HeadingPairs>
  <TitlesOfParts>
    <vt:vector size="18" baseType="lpstr">
      <vt:lpstr>ReadMe First</vt:lpstr>
      <vt:lpstr>Establishments</vt:lpstr>
      <vt:lpstr>Raw Data</vt:lpstr>
      <vt:lpstr>Data For Analysis</vt:lpstr>
      <vt:lpstr>Constants</vt:lpstr>
      <vt:lpstr>Task Durations</vt:lpstr>
      <vt:lpstr>Descriptive Stats</vt:lpstr>
      <vt:lpstr>Indirect vs Direct</vt:lpstr>
      <vt:lpstr>Total Pop</vt:lpstr>
      <vt:lpstr>Confidence Intervals</vt:lpstr>
      <vt:lpstr>ANOVA - plant size</vt:lpstr>
      <vt:lpstr>N60 vs 2lb Grab</vt:lpstr>
      <vt:lpstr>Time Collectors</vt:lpstr>
      <vt:lpstr>Connection</vt:lpstr>
      <vt:lpstr>Districts</vt:lpstr>
      <vt:lpstr>t-Distribution</vt:lpstr>
      <vt:lpstr>Normal Table</vt:lpstr>
      <vt:lpstr>'Descriptive Stats'!Criteria</vt:lpstr>
    </vt:vector>
  </TitlesOfParts>
  <Company>3M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A4835ZZ</dc:creator>
  <cp:lastModifiedBy>Chris</cp:lastModifiedBy>
  <dcterms:created xsi:type="dcterms:W3CDTF">2013-10-28T17:10:43Z</dcterms:created>
  <dcterms:modified xsi:type="dcterms:W3CDTF">2013-12-12T02:43:01Z</dcterms:modified>
</cp:coreProperties>
</file>